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4" windowWidth="11772" windowHeight="9672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<sst xmlns="http://schemas.openxmlformats.org/spreadsheetml/2006/main" count="582" uniqueCount="158">
  <si>
    <t>Другие общегосударственные вопросы</t>
  </si>
  <si>
    <t>Мобилизационная и вневойсковая подготовка</t>
  </si>
  <si>
    <t>Благоустройство</t>
  </si>
  <si>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</si>
  <si>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</si>
  <si>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</si>
  <si>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</si>
  <si>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</si>
  <si>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</si>
  <si>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</si>
  <si>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</si>
  <si>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</si>
  <si>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</si>
  <si>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</si>
  <si>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</si>
  <si>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</si>
  <si>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</si>
  <si>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</si>
  <si>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</si>
  <si>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</si>
  <si>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Прочая закупка товаров, работ и услуг для обеспечения государственных (муниципальных) нужд</t>
  </si>
  <si>
    <t>831</t>
  </si>
  <si>
    <t>Жилищное хозяйство</t>
  </si>
  <si>
    <t>99 9 01 81010</t>
  </si>
  <si>
    <t>99 9 02 81030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</si>
  <si>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</si>
  <si>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</si>
  <si>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99 9 01 81020</t>
  </si>
  <si>
    <t>853</t>
  </si>
  <si>
    <t>99 9 09 82420</t>
  </si>
  <si>
    <t>99 9 10 82420</t>
  </si>
  <si>
    <t>02 1 01 82910</t>
  </si>
  <si>
    <t>99 9 03 82900</t>
  </si>
  <si>
    <t>99 9 14 63010</t>
  </si>
  <si>
    <t>99 9 04 83590</t>
  </si>
  <si>
    <t>119</t>
  </si>
  <si>
    <t>99 9 05 51180</t>
  </si>
  <si>
    <t>99 9 06 82300</t>
  </si>
  <si>
    <t>99 9 07 82420</t>
  </si>
  <si>
    <t>99 9 08 62030</t>
  </si>
  <si>
    <t>Непрограммные расходы</t>
  </si>
  <si>
    <t>01 1 01 83110</t>
  </si>
  <si>
    <t>01 1 01 72160</t>
  </si>
  <si>
    <t>01 1 01 72340</t>
  </si>
  <si>
    <t>01 2 02 72160</t>
  </si>
  <si>
    <t>01 2 02 83120</t>
  </si>
  <si>
    <t>01 2 02 72340</t>
  </si>
  <si>
    <t>Социальное обеспечение населения</t>
  </si>
  <si>
    <t>99 9 12 73180</t>
  </si>
  <si>
    <t>1-Наименование показателя</t>
  </si>
  <si>
    <t>РЗ ПР</t>
  </si>
  <si>
    <t>ВР</t>
  </si>
  <si>
    <t>Общегосударственные вопросы</t>
  </si>
  <si>
    <t>01 00</t>
  </si>
  <si>
    <t>0000000000</t>
  </si>
  <si>
    <t>Функционирование высшего должностного лица субъекта РФ и муниципального образования</t>
  </si>
  <si>
    <t>01 02</t>
  </si>
  <si>
    <t>Расходы</t>
  </si>
  <si>
    <t>Фонд оплаты труда государственных (муниципальных) органов (Заработная плата)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</si>
  <si>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</si>
  <si>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01 03</t>
  </si>
  <si>
    <t>Иные выплаты персоналу государственных (муниципальных органов, за исключением фонда оплаты труда (Прочие выплаты)</t>
  </si>
  <si>
    <t>Оплата работ, услуг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</si>
  <si>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</si>
  <si>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обеспечения государственных (муниципальных) нужд </t>
  </si>
  <si>
    <t>Функционирование высших исполнительных органов государственной власти субъектов РФ, местных администраций</t>
  </si>
  <si>
    <t>01 04</t>
  </si>
  <si>
    <t>Иные выплаты персоналу государственных (муниципальных) органов, за исключением фонда оплаты труда (Прочие выплаты)</t>
  </si>
  <si>
    <t>Уплата прочих налогов, сборов (Прочие расходы)</t>
  </si>
  <si>
    <t>Уплата иных платежей (Прочие расходы)</t>
  </si>
  <si>
    <t>Вспомогательная деятельность в области государственного управления</t>
  </si>
  <si>
    <t>01 13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</si>
  <si>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(Прочие расходы)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</si>
  <si>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</si>
  <si>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</si>
  <si>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</si>
  <si>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99 9 03 74160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</si>
  <si>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</si>
  <si>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</si>
  <si>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Фонд оплаты труда казенных учреждений (Заработная плата)</t>
  </si>
  <si>
    <t>99904 72А30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</si>
  <si>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</si>
  <si>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9990472А30</t>
  </si>
  <si>
    <t>99 9 04 72160</t>
  </si>
  <si>
    <t>Фонд оплаты труда казенных учреждений (общественные работы)</t>
  </si>
  <si>
    <t>99 9 04 83600</t>
  </si>
  <si>
    <t>99 9 04 74220</t>
  </si>
  <si>
    <t>Иные выплаты персоналу учреждений, за исключением фонда оплаты труда (Прочие выплаты)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</si>
  <si>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</si>
  <si>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99 9 04 83700</t>
  </si>
  <si>
    <t>Национальная оборона</t>
  </si>
  <si>
    <t>02 03</t>
  </si>
  <si>
    <t>121 
(18-365)</t>
  </si>
  <si>
    <t>122 
(18-365)</t>
  </si>
  <si>
    <t>129 
(18-365)</t>
  </si>
  <si>
    <t>244 
(18-365)</t>
  </si>
  <si>
    <t>03 09</t>
  </si>
  <si>
    <t>Национальная экономика</t>
  </si>
  <si>
    <t>04 09</t>
  </si>
  <si>
    <t>Дорожное хозяйство (дорожные фонды)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</si>
  <si>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</si>
  <si>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 (Прочие работы, услуги)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</si>
  <si>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</si>
  <si>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</si>
  <si>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</si>
  <si>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</si>
  <si>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05 01</t>
  </si>
  <si>
    <t>Снос аварийного и непригодного для проживания жилищного фонда и рекультивация земель</t>
  </si>
  <si>
    <t>99 9 09 29200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</si>
  <si>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</si>
  <si>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05 02</t>
  </si>
  <si>
    <t>Разработка схем водоснабжения, водоотведения и схем теплоснабжения</t>
  </si>
  <si>
    <t>05 03</t>
  </si>
  <si>
    <t>Программные расходы                                                     Программа №2 Подпрограмма №1</t>
  </si>
  <si>
    <t>Прочая закупка товаров, работ и услуг для обеспечения государственных (муниципальных) нужд (Коммунальные услуги)</t>
  </si>
  <si>
    <t>Мероприятие Оплата за электроэнергию уличного освещения</t>
  </si>
  <si>
    <t>Профессиональная подготовка, переподготовка и повышение квалификации</t>
  </si>
  <si>
    <t>07 05</t>
  </si>
  <si>
    <t xml:space="preserve">Непрограммные расходы                                                     </t>
  </si>
  <si>
    <t>99 9 15 72870</t>
  </si>
  <si>
    <t>0,00</t>
  </si>
  <si>
    <t xml:space="preserve">Культура, кинематография                   
Программные расходы </t>
  </si>
  <si>
    <t>08 01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</si>
  <si>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</si>
  <si>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>99 9 01 82980</t>
  </si>
  <si>
    <t>Закупка товаров, работ, услуг в сфере информационно-коммуникационных технологий (Услуги связи)</t>
  </si>
  <si>
    <t>Уплата налога на имущество организаций и земельного налога (Прочие расходы)</t>
  </si>
  <si>
    <t>99 9 01 83110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</si>
  <si>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</si>
  <si>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Поступление нефинансовых активов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</si>
  <si>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</si>
  <si>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R5190</t>
  </si>
  <si>
    <t>01 2 02 L5190</t>
  </si>
  <si>
    <t>01 2 02 80300</t>
  </si>
  <si>
    <t>01 2 02 72950</t>
  </si>
  <si>
    <t>Социальная политика</t>
  </si>
  <si>
    <t>10 03</t>
  </si>
  <si>
    <t>Иные выплаты персоналу учреждений, за исключением фонда оплаты труда (Пособия по социальной помощи населению)</t>
  </si>
  <si>
    <t>Массовый спорт</t>
  </si>
  <si>
    <t>11 02</t>
  </si>
  <si>
    <t>99 9 15 74150</t>
  </si>
  <si>
    <t>Межбюджетные трасферты общего характера бюджетам бюджетной системы РФ</t>
  </si>
  <si>
    <t>14 03</t>
  </si>
  <si>
    <t>Прочие межбюджетные трасферты общего характера</t>
  </si>
  <si>
    <t>Иные межбюджетные трансферты (Перечисления другим бюджетам бюджетной системы РФ)</t>
  </si>
  <si>
    <t>Итого</t>
  </si>
  <si>
    <t>96 00</t>
  </si>
  <si>
    <t>Целевая статья</t>
  </si>
  <si>
    <t>Утвержденные бюджетные назначения</t>
  </si>
  <si>
    <t>Исполнено</t>
  </si>
  <si>
    <t>% исполнения</t>
  </si>
  <si>
    <t>Внесение изменений в генеральный план землепользования и застройки территорий</t>
  </si>
  <si>
    <t xml:space="preserve">Ведущий специалист по финансово-бюджетным вопросам                            </t>
  </si>
  <si>
    <t>Л.С. Чащина</t>
  </si>
  <si>
    <t>от 18.10.2019 г. №___</t>
  </si>
  <si>
    <t>Ведомственная структура расходов  бюджета муниципального образования городского поселения "Северомуйское за полугодие 2019 года.</t>
  </si>
  <si>
    <t>"Северомуйское" за полугодие 2019 года"</t>
  </si>
  <si>
    <t>Профицит (Дефицит) бюджета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</si>
</sst>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169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right" wrapText="1"/>
    </xf>
    <xf numFmtId="49" fontId="7" fillId="33" borderId="12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right" wrapText="1"/>
    </xf>
    <xf numFmtId="49" fontId="5" fillId="33" borderId="1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wrapText="1"/>
    </xf>
    <xf numFmtId="49" fontId="1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A148">
      <selection activeCell="F163" sqref="F163"/>
    </sheetView>
  </sheetViews>
  <sheetFormatPr defaultColWidth="9.125" defaultRowHeight="12.75"/>
  <cols>
    <col min="1" max="1" width="27.25390625" style="1" customWidth="1"/>
    <col min="2" max="2" width="8.125" style="1" customWidth="1"/>
    <col min="3" max="3" width="15.25390625" style="1" customWidth="1"/>
    <col min="4" max="4" width="6.75390625" style="1" customWidth="1"/>
    <col min="5" max="5" width="13.75390625" style="1" customWidth="1"/>
    <col min="6" max="6" width="16.50390625" style="1" customWidth="1"/>
    <col min="7" max="7" width="11.625" style="1" customWidth="1"/>
    <col min="8" max="8" width="2.125" style="1" customWidth="1"/>
    <col min="9" max="9" width="7.625" style="2" customWidth="1"/>
    <col min="10" max="10" width="6.00390625" style="1" customWidth="1"/>
    <col min="11" max="16384" width="9.125" style="1" customWidth="1"/>
  </cols>
  <sheetData>
    <row r="1" spans="6:9" ht="12.75">
      <c r="F1" s="36" t="s">
        <v>19</v>
      </c>
      <c r="G1" s="36"/>
      <c r="H1" s="36"/>
      <c r="I1" s="1"/>
    </row>
    <row r="2" spans="6:9" ht="12.75">
      <c r="F2" s="37" t="s">
        <v>16</v>
      </c>
      <c r="G2" s="37"/>
      <c r="H2" s="37"/>
      <c r="I2" s="37"/>
    </row>
    <row r="3" spans="6:9" ht="12.75">
      <c r="F3" s="38" t="s">
        <v>17</v>
      </c>
      <c r="G3" s="38"/>
      <c r="H3" s="38"/>
      <c r="I3" s="38"/>
    </row>
    <row r="4" spans="6:9" ht="12.75">
      <c r="F4" s="37" t="s">
        <v>18</v>
      </c>
      <c r="G4" s="37"/>
      <c r="H4" s="37"/>
      <c r="I4" s="37"/>
    </row>
    <row r="5" spans="6:9" ht="12.75">
      <c r="F5" s="37" t="s">
        <v>156</v>
      </c>
      <c r="G5" s="37"/>
      <c r="H5" s="37"/>
      <c r="I5" s="37"/>
    </row>
    <row r="6" spans="6:9" ht="14.25" customHeight="1">
      <c r="F6" s="39" t="s">
        <v>154</v>
      </c>
      <c r="G6" s="39"/>
      <c r="H6" s="39"/>
      <c r="I6" s="39"/>
    </row>
    <row r="7" spans="2:7" ht="10.5" customHeight="1">
      <c r="B7" s="3"/>
      <c r="C7" s="4"/>
      <c r="G7" s="5"/>
    </row>
    <row r="8" spans="1:8" ht="12.75" customHeight="1">
      <c r="A8" s="57" t="s">
        <v>155</v>
      </c>
      <c r="B8" s="57"/>
      <c r="C8" s="57"/>
      <c r="D8" s="57"/>
      <c r="E8" s="57"/>
      <c r="F8" s="57"/>
      <c r="G8" s="57"/>
      <c r="H8" s="57"/>
    </row>
    <row r="9" spans="1:8" ht="21.75" customHeight="1">
      <c r="A9" s="57"/>
      <c r="B9" s="57"/>
      <c r="C9" s="57"/>
      <c r="D9" s="57"/>
      <c r="E9" s="57"/>
      <c r="F9" s="57"/>
      <c r="G9" s="57"/>
      <c r="H9" s="57"/>
    </row>
    <row r="10" spans="2:10" ht="14.25" customHeight="1">
      <c r="B10" s="6"/>
      <c r="C10" s="7"/>
      <c r="H10" s="56"/>
      <c r="I10" s="56"/>
      <c r="J10" s="56"/>
    </row>
    <row r="11" spans="1:10" ht="12.75">
      <c r="A11" s="8"/>
      <c r="B11" s="8"/>
      <c r="C11" s="9"/>
      <c r="D11" s="9"/>
      <c r="E11" s="9"/>
      <c r="F11" s="9"/>
      <c r="G11" s="9"/>
      <c r="H11" s="10"/>
      <c r="I11" s="10"/>
      <c r="J11" s="11"/>
    </row>
    <row r="12" spans="1:13" ht="27" customHeight="1">
      <c r="A12" s="13" t="s">
        <v>49</v>
      </c>
      <c r="B12" s="13" t="s">
        <v>50</v>
      </c>
      <c r="C12" s="13" t="s">
        <v>147</v>
      </c>
      <c r="D12" s="13" t="s">
        <v>51</v>
      </c>
      <c r="E12" s="34" t="s">
        <v>148</v>
      </c>
      <c r="F12" s="40" t="s">
        <v>149</v>
      </c>
      <c r="G12" s="42" t="s">
        <v>150</v>
      </c>
      <c r="H12" s="10"/>
      <c r="I12" s="10"/>
      <c r="J12" s="11"/>
      <c r="K12" s="36"/>
      <c r="L12" s="36"/>
      <c r="M12" s="36"/>
    </row>
    <row r="13" spans="1:14" ht="17.25" customHeight="1">
      <c r="A13" s="43" t="s">
        <v>52</v>
      </c>
      <c r="B13" s="13" t="s">
        <v>53</v>
      </c>
      <c r="C13" s="15" t="s">
        <v>54</v>
      </c>
      <c r="D13" s="13" t="s">
        <v>14</v>
      </c>
      <c r="E13" s="14">
        <f>E14+E19+E28</f>
        <v>2627200</v>
      </c>
      <c r="F13" s="14">
        <f>F14+F19+F28</f>
        <v>1659197.1600000001</v>
      </c>
      <c r="G13" s="41">
        <f>F13/E13*100%</f>
        <v>0.6315458130328868</v>
      </c>
      <c r="H13" s="37"/>
      <c r="I13" s="37"/>
      <c r="K13" s="37"/>
      <c r="L13" s="37"/>
      <c r="M13" s="37"/>
      <c r="N13" s="37"/>
    </row>
    <row r="14" spans="1:14" ht="42" customHeight="1">
      <c r="A14" s="43" t="s">
        <v>55</v>
      </c>
      <c r="B14" s="15" t="s">
        <v>56</v>
      </c>
      <c r="C14" s="15" t="s">
        <v>54</v>
      </c>
      <c r="D14" s="15" t="s">
        <v>14</v>
      </c>
      <c r="E14" s="16">
        <f>E15</f>
        <v>1151030</v>
      </c>
      <c r="F14" s="16">
        <f>F15</f>
        <v>703207.37</v>
      </c>
      <c r="G14" s="41">
        <f aca="true" t="shared" si="0" ref="G14:G73">F14/E14*100%</f>
        <v>0.6109374820812663</v>
      </c>
      <c r="K14" s="38"/>
      <c r="L14" s="38"/>
      <c r="M14" s="38"/>
      <c r="N14" s="38"/>
    </row>
    <row r="15" spans="1:14" ht="17.25" customHeight="1">
      <c r="A15" s="44" t="s">
        <v>57</v>
      </c>
      <c r="B15" s="17" t="s">
        <v>56</v>
      </c>
      <c r="C15" s="17" t="s">
        <v>54</v>
      </c>
      <c r="D15" s="17" t="s">
        <v>14</v>
      </c>
      <c r="E15" s="18">
        <f>E16+E17</f>
        <v>1151030</v>
      </c>
      <c r="F15" s="18">
        <f>F16+F17</f>
        <v>703207.37</v>
      </c>
      <c r="G15" s="41">
        <f t="shared" si="0"/>
        <v>0.6109374820812663</v>
      </c>
      <c r="K15" s="37"/>
      <c r="L15" s="37"/>
      <c r="M15" s="37"/>
      <c r="N15" s="37"/>
    </row>
    <row r="16" spans="1:14" ht="12.75" customHeight="1">
      <c r="A16" s="45" t="s">
        <v>58</v>
      </c>
      <c r="B16" s="19" t="s">
        <v>56</v>
      </c>
      <c r="C16" s="19" t="s">
        <v>23</v>
      </c>
      <c r="D16" s="19" t="s">
        <v>7</v>
      </c>
      <c r="E16" s="20">
        <f>859000+35000-16633.49-702.32</f>
        <v>876664.1900000001</v>
      </c>
      <c r="F16" s="20">
        <f>367798.08+61043.48</f>
        <v>428841.56</v>
      </c>
      <c r="G16" s="41">
        <f t="shared" si="0"/>
        <v>0.4891742640930731</v>
      </c>
      <c r="K16" s="37"/>
      <c r="L16" s="37"/>
      <c r="M16" s="37"/>
      <c r="N16" s="37"/>
    </row>
    <row r="17" spans="1:14" ht="12.75" customHeight="1">
      <c r="A17" s="45" t="s">
        <v>59</v>
      </c>
      <c r="B17" s="19" t="s">
        <v>56</v>
      </c>
      <c r="C17" s="19" t="s">
        <v>23</v>
      </c>
      <c r="D17" s="19" t="s">
        <v>25</v>
      </c>
      <c r="E17" s="20">
        <f>257030+16633.49+702.32</f>
        <v>274365.81</v>
      </c>
      <c r="F17" s="20">
        <f>36881.39+64137.77+173346.65</f>
        <v>274365.81</v>
      </c>
      <c r="G17" s="41">
        <f t="shared" si="0"/>
        <v>1</v>
      </c>
      <c r="K17" s="39"/>
      <c r="L17" s="39"/>
      <c r="M17" s="39"/>
      <c r="N17" s="39"/>
    </row>
    <row r="18" spans="1:7" ht="0" customHeight="1" hidden="1">
      <c r="A18" s="46"/>
      <c r="B18" s="21"/>
      <c r="C18" s="21"/>
      <c r="D18" s="21"/>
      <c r="E18" s="21"/>
      <c r="F18" s="21"/>
      <c r="G18" s="41" t="e">
        <f t="shared" si="0"/>
        <v>#DIV/0!</v>
      </c>
    </row>
    <row r="19" spans="1:12" ht="47.25" customHeight="1">
      <c r="A19" s="43" t="s">
        <v>13</v>
      </c>
      <c r="B19" s="15" t="s">
        <v>60</v>
      </c>
      <c r="C19" s="15" t="s">
        <v>54</v>
      </c>
      <c r="D19" s="15" t="s">
        <v>14</v>
      </c>
      <c r="E19" s="16">
        <f>E20+E24</f>
        <v>995880</v>
      </c>
      <c r="F19" s="16">
        <f>F20+F24</f>
        <v>583034.88</v>
      </c>
      <c r="G19" s="41">
        <f t="shared" si="0"/>
        <v>0.5854469213158212</v>
      </c>
      <c r="L19" s="12"/>
    </row>
    <row r="20" spans="1:7" ht="18" customHeight="1">
      <c r="A20" s="44" t="s">
        <v>57</v>
      </c>
      <c r="B20" s="17" t="s">
        <v>60</v>
      </c>
      <c r="C20" s="17" t="s">
        <v>54</v>
      </c>
      <c r="D20" s="17" t="s">
        <v>14</v>
      </c>
      <c r="E20" s="18">
        <f>E21+E22+E23</f>
        <v>947380</v>
      </c>
      <c r="F20" s="18">
        <f>F21+F22+F23</f>
        <v>574748.17</v>
      </c>
      <c r="G20" s="41">
        <f t="shared" si="0"/>
        <v>0.6066712090185565</v>
      </c>
    </row>
    <row r="21" spans="1:7" ht="12.75" customHeight="1">
      <c r="A21" s="45" t="s">
        <v>58</v>
      </c>
      <c r="B21" s="19" t="s">
        <v>60</v>
      </c>
      <c r="C21" s="19" t="s">
        <v>24</v>
      </c>
      <c r="D21" s="19" t="s">
        <v>7</v>
      </c>
      <c r="E21" s="20">
        <v>688000</v>
      </c>
      <c r="F21" s="20">
        <f>364882.08+72842.71</f>
        <v>437724.79000000004</v>
      </c>
      <c r="G21" s="41">
        <f t="shared" si="0"/>
        <v>0.6362278924418605</v>
      </c>
    </row>
    <row r="22" spans="1:7" ht="12.75" customHeight="1">
      <c r="A22" s="45" t="s">
        <v>61</v>
      </c>
      <c r="B22" s="19" t="s">
        <v>60</v>
      </c>
      <c r="C22" s="19" t="s">
        <v>24</v>
      </c>
      <c r="D22" s="19" t="s">
        <v>8</v>
      </c>
      <c r="E22" s="20">
        <v>51600</v>
      </c>
      <c r="F22" s="20">
        <f>5060+20000+1769</f>
        <v>26829</v>
      </c>
      <c r="G22" s="41">
        <f t="shared" si="0"/>
        <v>0.5199418604651163</v>
      </c>
    </row>
    <row r="23" spans="1:7" ht="12.75" customHeight="1">
      <c r="A23" s="45" t="s">
        <v>26</v>
      </c>
      <c r="B23" s="19" t="s">
        <v>60</v>
      </c>
      <c r="C23" s="19" t="s">
        <v>24</v>
      </c>
      <c r="D23" s="19" t="s">
        <v>25</v>
      </c>
      <c r="E23" s="20">
        <v>207780</v>
      </c>
      <c r="F23" s="20">
        <f>110194.38</f>
        <v>110194.38</v>
      </c>
      <c r="G23" s="41">
        <f t="shared" si="0"/>
        <v>0.5303416113196651</v>
      </c>
    </row>
    <row r="24" spans="1:7" ht="15" customHeight="1">
      <c r="A24" s="44" t="s">
        <v>62</v>
      </c>
      <c r="B24" s="17" t="s">
        <v>60</v>
      </c>
      <c r="C24" s="17" t="s">
        <v>24</v>
      </c>
      <c r="D24" s="17" t="s">
        <v>14</v>
      </c>
      <c r="E24" s="18">
        <f>E25+E26+E27</f>
        <v>48500</v>
      </c>
      <c r="F24" s="18">
        <f>F25+F26+F27</f>
        <v>8286.71</v>
      </c>
      <c r="G24" s="41">
        <f t="shared" si="0"/>
        <v>0.17085999999999998</v>
      </c>
    </row>
    <row r="25" spans="1:7" ht="12.75" customHeight="1">
      <c r="A25" s="45" t="s">
        <v>63</v>
      </c>
      <c r="B25" s="19" t="s">
        <v>60</v>
      </c>
      <c r="C25" s="19" t="s">
        <v>24</v>
      </c>
      <c r="D25" s="19" t="s">
        <v>11</v>
      </c>
      <c r="E25" s="20">
        <f>7000+1500-836.71</f>
        <v>7663.29</v>
      </c>
      <c r="F25" s="20">
        <v>3400</v>
      </c>
      <c r="G25" s="41">
        <f t="shared" si="0"/>
        <v>0.4436736701860428</v>
      </c>
    </row>
    <row r="26" spans="1:7" ht="12.75" customHeight="1">
      <c r="A26" s="45" t="s">
        <v>64</v>
      </c>
      <c r="B26" s="19" t="s">
        <v>60</v>
      </c>
      <c r="C26" s="19" t="s">
        <v>24</v>
      </c>
      <c r="D26" s="19" t="s">
        <v>4</v>
      </c>
      <c r="E26" s="20">
        <v>40000</v>
      </c>
      <c r="F26" s="20">
        <v>4050</v>
      </c>
      <c r="G26" s="41">
        <f t="shared" si="0"/>
        <v>0.10125</v>
      </c>
    </row>
    <row r="27" spans="1:7" ht="0.75" customHeight="1">
      <c r="A27" s="45" t="s">
        <v>69</v>
      </c>
      <c r="B27" s="19" t="s">
        <v>60</v>
      </c>
      <c r="C27" s="19" t="s">
        <v>24</v>
      </c>
      <c r="D27" s="19" t="s">
        <v>28</v>
      </c>
      <c r="E27" s="20">
        <f>836.71</f>
        <v>836.71</v>
      </c>
      <c r="F27" s="20">
        <f>836.71</f>
        <v>836.71</v>
      </c>
      <c r="G27" s="41">
        <f t="shared" si="0"/>
        <v>1</v>
      </c>
    </row>
    <row r="28" spans="1:7" ht="25.5" customHeight="1" hidden="1">
      <c r="A28" s="43" t="s">
        <v>65</v>
      </c>
      <c r="B28" s="15" t="s">
        <v>66</v>
      </c>
      <c r="C28" s="15" t="s">
        <v>54</v>
      </c>
      <c r="D28" s="15" t="s">
        <v>14</v>
      </c>
      <c r="E28" s="16">
        <f>E29+E33</f>
        <v>480290</v>
      </c>
      <c r="F28" s="16">
        <f>F29+F33</f>
        <v>372954.91000000003</v>
      </c>
      <c r="G28" s="41">
        <f t="shared" si="0"/>
        <v>0.7765202481833893</v>
      </c>
    </row>
    <row r="29" spans="1:7" ht="12" customHeight="1">
      <c r="A29" s="44" t="s">
        <v>57</v>
      </c>
      <c r="B29" s="17" t="s">
        <v>66</v>
      </c>
      <c r="C29" s="17" t="s">
        <v>54</v>
      </c>
      <c r="D29" s="17" t="s">
        <v>14</v>
      </c>
      <c r="E29" s="18">
        <f>E30+E31+E32</f>
        <v>431413.52999999997</v>
      </c>
      <c r="F29" s="18">
        <f>F30+F31+F32</f>
        <v>327716.44</v>
      </c>
      <c r="G29" s="41">
        <f t="shared" si="0"/>
        <v>0.7596341264493954</v>
      </c>
    </row>
    <row r="30" spans="1:7" ht="12" customHeight="1">
      <c r="A30" s="45" t="s">
        <v>58</v>
      </c>
      <c r="B30" s="19" t="s">
        <v>66</v>
      </c>
      <c r="C30" s="19" t="s">
        <v>27</v>
      </c>
      <c r="D30" s="19" t="s">
        <v>7</v>
      </c>
      <c r="E30" s="20">
        <f>360000+15000-34498.13-500.9-1394.99-21271.89-21723.35</f>
        <v>295610.74</v>
      </c>
      <c r="F30" s="20">
        <f>176164.34+15749.31</f>
        <v>191913.65</v>
      </c>
      <c r="G30" s="41">
        <f t="shared" si="0"/>
        <v>0.6492106815875499</v>
      </c>
    </row>
    <row r="31" spans="1:7" ht="12" customHeight="1">
      <c r="A31" s="45" t="s">
        <v>67</v>
      </c>
      <c r="B31" s="19" t="s">
        <v>66</v>
      </c>
      <c r="C31" s="19" t="s">
        <v>27</v>
      </c>
      <c r="D31" s="19" t="s">
        <v>8</v>
      </c>
      <c r="E31" s="20">
        <f>6090</f>
        <v>6090</v>
      </c>
      <c r="F31" s="20">
        <f>6090</f>
        <v>6090</v>
      </c>
      <c r="G31" s="41">
        <f t="shared" si="0"/>
        <v>1</v>
      </c>
    </row>
    <row r="32" spans="1:7" ht="15.75" customHeight="1">
      <c r="A32" s="45" t="s">
        <v>59</v>
      </c>
      <c r="B32" s="19" t="s">
        <v>66</v>
      </c>
      <c r="C32" s="19" t="s">
        <v>27</v>
      </c>
      <c r="D32" s="19" t="s">
        <v>25</v>
      </c>
      <c r="E32" s="20">
        <f>93250-6090-30019.61+27754+21723.35+428.17+1394.99+21271.89</f>
        <v>129712.79</v>
      </c>
      <c r="F32" s="20">
        <f>62554.04+22340.35+44818.4</f>
        <v>129712.79000000001</v>
      </c>
      <c r="G32" s="41">
        <f t="shared" si="0"/>
        <v>1.0000000000000002</v>
      </c>
    </row>
    <row r="33" spans="1:7" ht="12" customHeight="1">
      <c r="A33" s="44" t="s">
        <v>62</v>
      </c>
      <c r="B33" s="17" t="s">
        <v>66</v>
      </c>
      <c r="C33" s="17" t="s">
        <v>27</v>
      </c>
      <c r="D33" s="17" t="s">
        <v>14</v>
      </c>
      <c r="E33" s="18">
        <f>E34+E35+E36</f>
        <v>48876.47</v>
      </c>
      <c r="F33" s="18">
        <f>F34+F35+F36</f>
        <v>45238.47000000001</v>
      </c>
      <c r="G33" s="41">
        <v>0</v>
      </c>
    </row>
    <row r="34" spans="1:7" ht="12" customHeight="1">
      <c r="A34" s="45" t="s">
        <v>20</v>
      </c>
      <c r="B34" s="19" t="s">
        <v>66</v>
      </c>
      <c r="C34" s="19" t="s">
        <v>27</v>
      </c>
      <c r="D34" s="19" t="s">
        <v>4</v>
      </c>
      <c r="E34" s="20">
        <v>0</v>
      </c>
      <c r="F34" s="20">
        <v>0</v>
      </c>
      <c r="G34" s="41">
        <v>0</v>
      </c>
    </row>
    <row r="35" spans="1:7" ht="12" customHeight="1">
      <c r="A35" s="45" t="s">
        <v>68</v>
      </c>
      <c r="B35" s="19" t="s">
        <v>66</v>
      </c>
      <c r="C35" s="19" t="s">
        <v>27</v>
      </c>
      <c r="D35" s="19" t="s">
        <v>12</v>
      </c>
      <c r="E35" s="20">
        <v>10540</v>
      </c>
      <c r="F35" s="20">
        <f>6902</f>
        <v>6902</v>
      </c>
      <c r="G35" s="41">
        <f t="shared" si="0"/>
        <v>0.6548387096774193</v>
      </c>
    </row>
    <row r="36" spans="1:7" ht="12" customHeight="1">
      <c r="A36" s="45" t="s">
        <v>69</v>
      </c>
      <c r="B36" s="19" t="s">
        <v>66</v>
      </c>
      <c r="C36" s="19" t="s">
        <v>27</v>
      </c>
      <c r="D36" s="19" t="s">
        <v>28</v>
      </c>
      <c r="E36" s="20">
        <f>1500+30019.61+6744.13+72.73</f>
        <v>38336.47</v>
      </c>
      <c r="F36" s="20">
        <f>31519.61+2492.86+1303.08+2948.19+72.73</f>
        <v>38336.47000000001</v>
      </c>
      <c r="G36" s="41">
        <f t="shared" si="0"/>
        <v>1.0000000000000002</v>
      </c>
    </row>
    <row r="37" spans="1:7" ht="12" customHeight="1">
      <c r="A37" s="35" t="s">
        <v>70</v>
      </c>
      <c r="B37" s="15" t="s">
        <v>71</v>
      </c>
      <c r="C37" s="15" t="s">
        <v>54</v>
      </c>
      <c r="D37" s="15" t="s">
        <v>14</v>
      </c>
      <c r="E37" s="16">
        <f>E38+E39+E40+E42+E41+E43+E44+E45</f>
        <v>16365494.63</v>
      </c>
      <c r="F37" s="16">
        <f>F38+F39+F40+F42+F41+F43+F44+F45</f>
        <v>1078194.63</v>
      </c>
      <c r="G37" s="41">
        <f t="shared" si="0"/>
        <v>0.06588219020423215</v>
      </c>
    </row>
    <row r="38" spans="1:7" ht="12" customHeight="1">
      <c r="A38" s="47" t="s">
        <v>72</v>
      </c>
      <c r="B38" s="19" t="s">
        <v>71</v>
      </c>
      <c r="C38" s="19" t="s">
        <v>32</v>
      </c>
      <c r="D38" s="19" t="s">
        <v>21</v>
      </c>
      <c r="E38" s="20">
        <v>0</v>
      </c>
      <c r="F38" s="20">
        <v>0</v>
      </c>
      <c r="G38" s="41">
        <v>0</v>
      </c>
    </row>
    <row r="39" spans="1:7" ht="12" customHeight="1">
      <c r="A39" s="47" t="s">
        <v>73</v>
      </c>
      <c r="B39" s="19" t="s">
        <v>71</v>
      </c>
      <c r="C39" s="19" t="s">
        <v>32</v>
      </c>
      <c r="D39" s="19" t="s">
        <v>21</v>
      </c>
      <c r="E39" s="20">
        <f>209371.36-57571.36+229642.71</f>
        <v>381442.70999999996</v>
      </c>
      <c r="F39" s="20">
        <v>381442.71</v>
      </c>
      <c r="G39" s="41">
        <f t="shared" si="0"/>
        <v>1.0000000000000002</v>
      </c>
    </row>
    <row r="40" spans="1:7" ht="12" customHeight="1">
      <c r="A40" s="47" t="s">
        <v>74</v>
      </c>
      <c r="B40" s="19" t="s">
        <v>71</v>
      </c>
      <c r="C40" s="19" t="s">
        <v>75</v>
      </c>
      <c r="D40" s="19" t="s">
        <v>21</v>
      </c>
      <c r="E40" s="20">
        <f>455540-42428.64-38079+132388.99+37968.3-90000+14321+37041.27</f>
        <v>506751.92000000004</v>
      </c>
      <c r="F40" s="20">
        <f>440751.92+66000</f>
        <v>506751.92</v>
      </c>
      <c r="G40" s="41">
        <v>0</v>
      </c>
    </row>
    <row r="41" spans="1:7" ht="12" customHeight="1">
      <c r="A41" s="47" t="s">
        <v>74</v>
      </c>
      <c r="B41" s="19" t="s">
        <v>71</v>
      </c>
      <c r="C41" s="19" t="s">
        <v>76</v>
      </c>
      <c r="D41" s="19" t="s">
        <v>21</v>
      </c>
      <c r="E41" s="20">
        <v>15287300</v>
      </c>
      <c r="F41" s="20">
        <v>0</v>
      </c>
      <c r="G41" s="41">
        <v>0</v>
      </c>
    </row>
    <row r="42" spans="1:7" ht="12" customHeight="1">
      <c r="A42" s="47" t="s">
        <v>77</v>
      </c>
      <c r="B42" s="19" t="s">
        <v>71</v>
      </c>
      <c r="C42" s="19" t="s">
        <v>78</v>
      </c>
      <c r="D42" s="19" t="s">
        <v>4</v>
      </c>
      <c r="E42" s="20">
        <f>100000</f>
        <v>100000</v>
      </c>
      <c r="F42" s="20">
        <f>100000</f>
        <v>100000</v>
      </c>
      <c r="G42" s="41">
        <v>0</v>
      </c>
    </row>
    <row r="43" spans="1:7" ht="12" customHeight="1">
      <c r="A43" s="47" t="s">
        <v>74</v>
      </c>
      <c r="B43" s="19" t="s">
        <v>71</v>
      </c>
      <c r="C43" s="19" t="s">
        <v>76</v>
      </c>
      <c r="D43" s="19" t="s">
        <v>7</v>
      </c>
      <c r="E43" s="20">
        <v>0</v>
      </c>
      <c r="F43" s="20">
        <v>0</v>
      </c>
      <c r="G43" s="41">
        <v>0</v>
      </c>
    </row>
    <row r="44" spans="1:7" ht="12" customHeight="1">
      <c r="A44" s="47" t="s">
        <v>74</v>
      </c>
      <c r="B44" s="19" t="s">
        <v>71</v>
      </c>
      <c r="C44" s="19" t="s">
        <v>76</v>
      </c>
      <c r="D44" s="19" t="s">
        <v>8</v>
      </c>
      <c r="E44" s="20">
        <v>0</v>
      </c>
      <c r="F44" s="20">
        <v>0</v>
      </c>
      <c r="G44" s="41">
        <v>0</v>
      </c>
    </row>
    <row r="45" spans="1:7" ht="12" customHeight="1">
      <c r="A45" s="47" t="s">
        <v>74</v>
      </c>
      <c r="B45" s="19" t="s">
        <v>71</v>
      </c>
      <c r="C45" s="19" t="s">
        <v>76</v>
      </c>
      <c r="D45" s="19" t="s">
        <v>28</v>
      </c>
      <c r="E45" s="20">
        <v>90000</v>
      </c>
      <c r="F45" s="20">
        <v>90000</v>
      </c>
      <c r="G45" s="41">
        <f t="shared" si="0"/>
        <v>1</v>
      </c>
    </row>
    <row r="46" spans="1:7" ht="12" customHeight="1">
      <c r="A46" s="35" t="s">
        <v>0</v>
      </c>
      <c r="B46" s="15" t="s">
        <v>71</v>
      </c>
      <c r="C46" s="15" t="s">
        <v>54</v>
      </c>
      <c r="D46" s="15" t="s">
        <v>14</v>
      </c>
      <c r="E46" s="16">
        <f>E47+E60</f>
        <v>4832201.66</v>
      </c>
      <c r="F46" s="16">
        <f>F47+F60</f>
        <v>1781509.05</v>
      </c>
      <c r="G46" s="41">
        <f t="shared" si="0"/>
        <v>0.36867440048021505</v>
      </c>
    </row>
    <row r="47" spans="1:7" ht="12" customHeight="1">
      <c r="A47" s="48" t="s">
        <v>57</v>
      </c>
      <c r="B47" s="17" t="s">
        <v>71</v>
      </c>
      <c r="C47" s="17" t="s">
        <v>54</v>
      </c>
      <c r="D47" s="17" t="s">
        <v>14</v>
      </c>
      <c r="E47" s="18">
        <f>E51+E56+E58+E50+E59+E57+E48+E49+E52+E53+E54+E55</f>
        <v>4237201.66</v>
      </c>
      <c r="F47" s="18">
        <f>F51+F56+F58+F50+F59+F57+F48+F49+F52+F54+F55</f>
        <v>1450266.54</v>
      </c>
      <c r="G47" s="41">
        <f t="shared" si="0"/>
        <v>0.34226988856603063</v>
      </c>
    </row>
    <row r="48" spans="1:7" ht="12" customHeight="1">
      <c r="A48" s="49" t="s">
        <v>79</v>
      </c>
      <c r="B48" s="19" t="s">
        <v>71</v>
      </c>
      <c r="C48" s="19" t="s">
        <v>80</v>
      </c>
      <c r="D48" s="19" t="s">
        <v>5</v>
      </c>
      <c r="E48" s="20">
        <v>180630</v>
      </c>
      <c r="F48" s="20">
        <v>0</v>
      </c>
      <c r="G48" s="41">
        <f t="shared" si="0"/>
        <v>0</v>
      </c>
    </row>
    <row r="49" spans="1:7" ht="12" customHeight="1">
      <c r="A49" s="49" t="s">
        <v>81</v>
      </c>
      <c r="B49" s="19" t="s">
        <v>71</v>
      </c>
      <c r="C49" s="19" t="s">
        <v>82</v>
      </c>
      <c r="D49" s="19" t="s">
        <v>35</v>
      </c>
      <c r="E49" s="20">
        <v>52370</v>
      </c>
      <c r="F49" s="20">
        <v>0</v>
      </c>
      <c r="G49" s="41">
        <f t="shared" si="0"/>
        <v>0</v>
      </c>
    </row>
    <row r="50" spans="1:7" ht="12" customHeight="1">
      <c r="A50" s="49" t="s">
        <v>79</v>
      </c>
      <c r="B50" s="19" t="s">
        <v>71</v>
      </c>
      <c r="C50" s="19" t="s">
        <v>83</v>
      </c>
      <c r="D50" s="19" t="s">
        <v>5</v>
      </c>
      <c r="E50" s="20">
        <v>681194.32</v>
      </c>
      <c r="F50" s="20">
        <v>0</v>
      </c>
      <c r="G50" s="41">
        <v>0</v>
      </c>
    </row>
    <row r="51" spans="1:7" ht="12" customHeight="1">
      <c r="A51" s="49" t="s">
        <v>79</v>
      </c>
      <c r="B51" s="19" t="s">
        <v>71</v>
      </c>
      <c r="C51" s="19" t="s">
        <v>34</v>
      </c>
      <c r="D51" s="19" t="s">
        <v>5</v>
      </c>
      <c r="E51" s="20">
        <v>2034150</v>
      </c>
      <c r="F51" s="20">
        <f>1050807.85+359581.22</f>
        <v>1410389.07</v>
      </c>
      <c r="G51" s="41">
        <v>0</v>
      </c>
    </row>
    <row r="52" spans="1:7" ht="12" customHeight="1">
      <c r="A52" s="49" t="s">
        <v>84</v>
      </c>
      <c r="B52" s="19" t="s">
        <v>71</v>
      </c>
      <c r="C52" s="19" t="s">
        <v>85</v>
      </c>
      <c r="D52" s="19" t="s">
        <v>5</v>
      </c>
      <c r="E52" s="20">
        <f>43597.16-43597.16</f>
        <v>0</v>
      </c>
      <c r="F52" s="20">
        <v>0</v>
      </c>
      <c r="G52" s="41">
        <v>0</v>
      </c>
    </row>
    <row r="53" spans="1:7" ht="12" customHeight="1">
      <c r="A53" s="49" t="s">
        <v>84</v>
      </c>
      <c r="B53" s="19" t="s">
        <v>71</v>
      </c>
      <c r="C53" s="19" t="s">
        <v>85</v>
      </c>
      <c r="D53" s="19" t="s">
        <v>35</v>
      </c>
      <c r="E53" s="20">
        <f>18023.84-18023.84</f>
        <v>0</v>
      </c>
      <c r="F53" s="20">
        <v>0</v>
      </c>
      <c r="G53" s="41">
        <v>0</v>
      </c>
    </row>
    <row r="54" spans="1:7" ht="12" customHeight="1">
      <c r="A54" s="49" t="s">
        <v>84</v>
      </c>
      <c r="B54" s="19" t="s">
        <v>71</v>
      </c>
      <c r="C54" s="19" t="s">
        <v>86</v>
      </c>
      <c r="D54" s="19" t="s">
        <v>5</v>
      </c>
      <c r="E54" s="20">
        <v>0</v>
      </c>
      <c r="F54" s="20">
        <v>0</v>
      </c>
      <c r="G54" s="41">
        <v>0</v>
      </c>
    </row>
    <row r="55" spans="1:7" ht="12" customHeight="1">
      <c r="A55" s="49" t="s">
        <v>84</v>
      </c>
      <c r="B55" s="19" t="s">
        <v>71</v>
      </c>
      <c r="C55" s="19" t="s">
        <v>86</v>
      </c>
      <c r="D55" s="19" t="s">
        <v>35</v>
      </c>
      <c r="E55" s="20">
        <v>0</v>
      </c>
      <c r="F55" s="20">
        <v>0</v>
      </c>
      <c r="G55" s="41">
        <v>0</v>
      </c>
    </row>
    <row r="56" spans="1:7" ht="12" customHeight="1">
      <c r="A56" s="49" t="s">
        <v>87</v>
      </c>
      <c r="B56" s="19" t="s">
        <v>71</v>
      </c>
      <c r="C56" s="19" t="s">
        <v>34</v>
      </c>
      <c r="D56" s="19" t="s">
        <v>10</v>
      </c>
      <c r="E56" s="20">
        <f>36210+380</f>
        <v>36590</v>
      </c>
      <c r="F56" s="20">
        <f>4932+4102+2132+25424</f>
        <v>36590</v>
      </c>
      <c r="G56" s="41">
        <f t="shared" si="0"/>
        <v>1</v>
      </c>
    </row>
    <row r="57" spans="1:7" ht="12" customHeight="1">
      <c r="A57" s="49" t="s">
        <v>81</v>
      </c>
      <c r="B57" s="19" t="s">
        <v>71</v>
      </c>
      <c r="C57" s="19" t="s">
        <v>83</v>
      </c>
      <c r="D57" s="19" t="s">
        <v>35</v>
      </c>
      <c r="E57" s="20">
        <v>205720.68</v>
      </c>
      <c r="F57" s="20">
        <v>0</v>
      </c>
      <c r="G57" s="41">
        <f t="shared" si="0"/>
        <v>0</v>
      </c>
    </row>
    <row r="58" spans="1:7" ht="12" customHeight="1">
      <c r="A58" s="49" t="s">
        <v>81</v>
      </c>
      <c r="B58" s="19" t="s">
        <v>71</v>
      </c>
      <c r="C58" s="19" t="s">
        <v>34</v>
      </c>
      <c r="D58" s="19" t="s">
        <v>35</v>
      </c>
      <c r="E58" s="20">
        <f>419000-380</f>
        <v>418620</v>
      </c>
      <c r="F58" s="20">
        <f>1425.19+1862.28</f>
        <v>3287.4700000000003</v>
      </c>
      <c r="G58" s="41">
        <f t="shared" si="0"/>
        <v>0.007853112608093259</v>
      </c>
    </row>
    <row r="59" spans="1:7" ht="12" customHeight="1">
      <c r="A59" s="49" t="s">
        <v>88</v>
      </c>
      <c r="B59" s="19" t="s">
        <v>71</v>
      </c>
      <c r="C59" s="19" t="s">
        <v>89</v>
      </c>
      <c r="D59" s="19" t="s">
        <v>35</v>
      </c>
      <c r="E59" s="22">
        <f>759409.93-37041.27-200-94242</f>
        <v>627926.66</v>
      </c>
      <c r="F59" s="20">
        <v>0</v>
      </c>
      <c r="G59" s="41">
        <f t="shared" si="0"/>
        <v>0</v>
      </c>
    </row>
    <row r="60" spans="1:7" ht="12" customHeight="1">
      <c r="A60" s="48" t="s">
        <v>62</v>
      </c>
      <c r="B60" s="17" t="s">
        <v>71</v>
      </c>
      <c r="C60" s="17" t="s">
        <v>34</v>
      </c>
      <c r="D60" s="17" t="s">
        <v>14</v>
      </c>
      <c r="E60" s="18">
        <f>E61+E62+E64+E65+E63</f>
        <v>595000</v>
      </c>
      <c r="F60" s="18">
        <f>F61+F62+F64+F65+F63</f>
        <v>331242.51</v>
      </c>
      <c r="G60" s="41">
        <f t="shared" si="0"/>
        <v>0.5567101008403361</v>
      </c>
    </row>
    <row r="61" spans="1:7" ht="12" customHeight="1">
      <c r="A61" s="45" t="s">
        <v>63</v>
      </c>
      <c r="B61" s="19" t="s">
        <v>71</v>
      </c>
      <c r="C61" s="19" t="s">
        <v>34</v>
      </c>
      <c r="D61" s="19" t="s">
        <v>11</v>
      </c>
      <c r="E61" s="20">
        <v>235000</v>
      </c>
      <c r="F61" s="20">
        <f>16000+27275.9+9000+1300</f>
        <v>53575.9</v>
      </c>
      <c r="G61" s="41">
        <v>0</v>
      </c>
    </row>
    <row r="62" spans="1:7" ht="12" customHeight="1">
      <c r="A62" s="45" t="s">
        <v>20</v>
      </c>
      <c r="B62" s="19" t="s">
        <v>71</v>
      </c>
      <c r="C62" s="19" t="s">
        <v>34</v>
      </c>
      <c r="D62" s="19" t="s">
        <v>4</v>
      </c>
      <c r="E62" s="20">
        <f>350000-100000</f>
        <v>250000</v>
      </c>
      <c r="F62" s="20">
        <f>131068.31+38300.26</f>
        <v>169368.57</v>
      </c>
      <c r="G62" s="41">
        <f t="shared" si="0"/>
        <v>0.67747428</v>
      </c>
    </row>
    <row r="63" spans="1:7" ht="12" customHeight="1">
      <c r="A63" s="45" t="s">
        <v>68</v>
      </c>
      <c r="B63" s="19" t="s">
        <v>71</v>
      </c>
      <c r="C63" s="19" t="s">
        <v>34</v>
      </c>
      <c r="D63" s="19" t="s">
        <v>21</v>
      </c>
      <c r="E63" s="20">
        <f>1088.58+1208.74+1012.61+1008.86-0.01</f>
        <v>4318.78</v>
      </c>
      <c r="F63" s="20">
        <f>2297.32+1012.61</f>
        <v>3309.9300000000003</v>
      </c>
      <c r="G63" s="41">
        <f t="shared" si="0"/>
        <v>0.7664039381491996</v>
      </c>
    </row>
    <row r="64" spans="1:7" ht="31.5" customHeight="1" hidden="1">
      <c r="A64" s="45" t="s">
        <v>68</v>
      </c>
      <c r="B64" s="19" t="s">
        <v>71</v>
      </c>
      <c r="C64" s="19" t="s">
        <v>34</v>
      </c>
      <c r="D64" s="19" t="s">
        <v>12</v>
      </c>
      <c r="E64" s="20">
        <f>10000-96-284.92-1088.58-4500-107.19-217.22-1208.74-1012.61-1008.85</f>
        <v>475.8900000000002</v>
      </c>
      <c r="F64" s="20">
        <v>0</v>
      </c>
      <c r="G64" s="41">
        <f t="shared" si="0"/>
        <v>0</v>
      </c>
    </row>
    <row r="65" spans="1:7" ht="19.5" customHeight="1">
      <c r="A65" s="45" t="s">
        <v>69</v>
      </c>
      <c r="B65" s="19" t="s">
        <v>71</v>
      </c>
      <c r="C65" s="19" t="s">
        <v>34</v>
      </c>
      <c r="D65" s="19" t="s">
        <v>28</v>
      </c>
      <c r="E65" s="20">
        <f>96+284.92+100000+4500+107.19+217.22</f>
        <v>105205.33</v>
      </c>
      <c r="F65" s="20">
        <f>100380.92+4607.19</f>
        <v>104988.11</v>
      </c>
      <c r="G65" s="41">
        <f t="shared" si="0"/>
        <v>0.9979352757127419</v>
      </c>
    </row>
    <row r="66" spans="1:7" ht="15.75" customHeight="1">
      <c r="A66" s="35" t="s">
        <v>90</v>
      </c>
      <c r="B66" s="15" t="s">
        <v>91</v>
      </c>
      <c r="C66" s="15" t="s">
        <v>54</v>
      </c>
      <c r="D66" s="15" t="s">
        <v>14</v>
      </c>
      <c r="E66" s="16">
        <f>E67</f>
        <v>346200</v>
      </c>
      <c r="F66" s="16">
        <f>F67</f>
        <v>167439.78</v>
      </c>
      <c r="G66" s="41">
        <f t="shared" si="0"/>
        <v>0.48365043327556323</v>
      </c>
    </row>
    <row r="67" spans="1:7" ht="14.25" customHeight="1">
      <c r="A67" s="35" t="s">
        <v>1</v>
      </c>
      <c r="B67" s="15" t="s">
        <v>91</v>
      </c>
      <c r="C67" s="15" t="s">
        <v>36</v>
      </c>
      <c r="D67" s="15" t="s">
        <v>14</v>
      </c>
      <c r="E67" s="16">
        <f>E68+E72</f>
        <v>346200</v>
      </c>
      <c r="F67" s="16">
        <f>F68+F72</f>
        <v>167439.78</v>
      </c>
      <c r="G67" s="41">
        <f t="shared" si="0"/>
        <v>0.48365043327556323</v>
      </c>
    </row>
    <row r="68" spans="1:7" ht="14.25" customHeight="1">
      <c r="A68" s="48" t="s">
        <v>57</v>
      </c>
      <c r="B68" s="17" t="s">
        <v>91</v>
      </c>
      <c r="C68" s="17" t="s">
        <v>36</v>
      </c>
      <c r="D68" s="17" t="s">
        <v>14</v>
      </c>
      <c r="E68" s="18">
        <f>E69+E70+E71</f>
        <v>336200</v>
      </c>
      <c r="F68" s="18">
        <f>F69+F70+F71</f>
        <v>167439.78</v>
      </c>
      <c r="G68" s="41">
        <f t="shared" si="0"/>
        <v>0.4980362284354551</v>
      </c>
    </row>
    <row r="69" spans="1:7" ht="14.25" customHeight="1">
      <c r="A69" s="49" t="s">
        <v>79</v>
      </c>
      <c r="B69" s="19" t="s">
        <v>91</v>
      </c>
      <c r="C69" s="19" t="s">
        <v>36</v>
      </c>
      <c r="D69" s="23" t="s">
        <v>92</v>
      </c>
      <c r="E69" s="20">
        <v>230200</v>
      </c>
      <c r="F69" s="20">
        <f>116053.04+13818.76</f>
        <v>129871.79999999999</v>
      </c>
      <c r="G69" s="41">
        <f t="shared" si="0"/>
        <v>0.5641694178974804</v>
      </c>
    </row>
    <row r="70" spans="1:7" ht="16.5" customHeight="1">
      <c r="A70" s="45" t="s">
        <v>67</v>
      </c>
      <c r="B70" s="19" t="s">
        <v>91</v>
      </c>
      <c r="C70" s="19" t="s">
        <v>36</v>
      </c>
      <c r="D70" s="23" t="s">
        <v>93</v>
      </c>
      <c r="E70" s="20">
        <v>26000</v>
      </c>
      <c r="F70" s="20">
        <f>832+416</f>
        <v>1248</v>
      </c>
      <c r="G70" s="41">
        <f t="shared" si="0"/>
        <v>0.048</v>
      </c>
    </row>
    <row r="71" spans="1:7" ht="15" customHeight="1">
      <c r="A71" s="45" t="s">
        <v>59</v>
      </c>
      <c r="B71" s="19" t="s">
        <v>91</v>
      </c>
      <c r="C71" s="19" t="s">
        <v>36</v>
      </c>
      <c r="D71" s="23" t="s">
        <v>94</v>
      </c>
      <c r="E71" s="20">
        <v>80000</v>
      </c>
      <c r="F71" s="20">
        <f>28824.72+7495.26</f>
        <v>36319.98</v>
      </c>
      <c r="G71" s="41">
        <f t="shared" si="0"/>
        <v>0.45399975000000004</v>
      </c>
    </row>
    <row r="72" spans="1:7" ht="18.75" customHeight="1" hidden="1">
      <c r="A72" s="48" t="s">
        <v>62</v>
      </c>
      <c r="B72" s="17" t="s">
        <v>91</v>
      </c>
      <c r="C72" s="17" t="s">
        <v>36</v>
      </c>
      <c r="D72" s="17" t="s">
        <v>14</v>
      </c>
      <c r="E72" s="18">
        <f>E73</f>
        <v>10000</v>
      </c>
      <c r="F72" s="18">
        <f>F73</f>
        <v>0</v>
      </c>
      <c r="G72" s="41">
        <f t="shared" si="0"/>
        <v>0</v>
      </c>
    </row>
    <row r="73" spans="1:7" ht="12" customHeight="1">
      <c r="A73" s="45" t="s">
        <v>20</v>
      </c>
      <c r="B73" s="19" t="s">
        <v>91</v>
      </c>
      <c r="C73" s="19" t="s">
        <v>36</v>
      </c>
      <c r="D73" s="23" t="s">
        <v>95</v>
      </c>
      <c r="E73" s="20">
        <v>10000</v>
      </c>
      <c r="F73" s="20">
        <v>0</v>
      </c>
      <c r="G73" s="41">
        <f t="shared" si="0"/>
        <v>0</v>
      </c>
    </row>
    <row r="74" spans="1:7" ht="12" customHeight="1">
      <c r="A74" s="35" t="s">
        <v>15</v>
      </c>
      <c r="B74" s="15" t="s">
        <v>96</v>
      </c>
      <c r="C74" s="15" t="s">
        <v>54</v>
      </c>
      <c r="D74" s="15" t="s">
        <v>14</v>
      </c>
      <c r="E74" s="16">
        <f>E75</f>
        <v>80000</v>
      </c>
      <c r="F74" s="16">
        <f>F75</f>
        <v>0</v>
      </c>
      <c r="G74" s="41">
        <f aca="true" t="shared" si="1" ref="G74:G131">F74/E74*100%</f>
        <v>0</v>
      </c>
    </row>
    <row r="75" spans="1:7" ht="0" customHeight="1" hidden="1">
      <c r="A75" s="48" t="s">
        <v>62</v>
      </c>
      <c r="B75" s="17" t="s">
        <v>96</v>
      </c>
      <c r="C75" s="17" t="s">
        <v>37</v>
      </c>
      <c r="D75" s="17" t="s">
        <v>14</v>
      </c>
      <c r="E75" s="18">
        <f>E76</f>
        <v>80000</v>
      </c>
      <c r="F75" s="18">
        <f>F76</f>
        <v>0</v>
      </c>
      <c r="G75" s="41">
        <f t="shared" si="1"/>
        <v>0</v>
      </c>
    </row>
    <row r="76" spans="1:7" ht="18" customHeight="1">
      <c r="A76" s="45" t="s">
        <v>64</v>
      </c>
      <c r="B76" s="19" t="s">
        <v>96</v>
      </c>
      <c r="C76" s="19" t="s">
        <v>37</v>
      </c>
      <c r="D76" s="19" t="s">
        <v>4</v>
      </c>
      <c r="E76" s="20">
        <v>80000</v>
      </c>
      <c r="F76" s="20">
        <v>0</v>
      </c>
      <c r="G76" s="41">
        <f t="shared" si="1"/>
        <v>0</v>
      </c>
    </row>
    <row r="77" spans="1:7" ht="14.25" customHeight="1">
      <c r="A77" s="35" t="s">
        <v>97</v>
      </c>
      <c r="B77" s="15" t="s">
        <v>98</v>
      </c>
      <c r="C77" s="15" t="s">
        <v>54</v>
      </c>
      <c r="D77" s="15" t="s">
        <v>14</v>
      </c>
      <c r="E77" s="16">
        <f>E78+E82</f>
        <v>464400</v>
      </c>
      <c r="F77" s="16">
        <f>F78</f>
        <v>0</v>
      </c>
      <c r="G77" s="41">
        <f t="shared" si="1"/>
        <v>0</v>
      </c>
    </row>
    <row r="78" spans="1:7" ht="12" customHeight="1">
      <c r="A78" s="35" t="s">
        <v>99</v>
      </c>
      <c r="B78" s="15" t="s">
        <v>98</v>
      </c>
      <c r="C78" s="15" t="s">
        <v>38</v>
      </c>
      <c r="D78" s="15" t="s">
        <v>14</v>
      </c>
      <c r="E78" s="16">
        <f>E79</f>
        <v>439400</v>
      </c>
      <c r="F78" s="16">
        <f>F79</f>
        <v>0</v>
      </c>
      <c r="G78" s="41">
        <f t="shared" si="1"/>
        <v>0</v>
      </c>
    </row>
    <row r="79" spans="1:7" ht="0" customHeight="1" hidden="1">
      <c r="A79" s="48" t="s">
        <v>62</v>
      </c>
      <c r="B79" s="17" t="s">
        <v>98</v>
      </c>
      <c r="C79" s="17" t="s">
        <v>38</v>
      </c>
      <c r="D79" s="17" t="s">
        <v>14</v>
      </c>
      <c r="E79" s="18">
        <f>E80+E81</f>
        <v>439400</v>
      </c>
      <c r="F79" s="18">
        <f>F80+F81</f>
        <v>0</v>
      </c>
      <c r="G79" s="41">
        <f t="shared" si="1"/>
        <v>0</v>
      </c>
    </row>
    <row r="80" spans="1:7" ht="20.25" customHeight="1">
      <c r="A80" s="45" t="s">
        <v>100</v>
      </c>
      <c r="B80" s="19" t="s">
        <v>98</v>
      </c>
      <c r="C80" s="19" t="s">
        <v>38</v>
      </c>
      <c r="D80" s="19" t="s">
        <v>4</v>
      </c>
      <c r="E80" s="20">
        <v>439400</v>
      </c>
      <c r="F80" s="20">
        <v>0</v>
      </c>
      <c r="G80" s="41">
        <f t="shared" si="1"/>
        <v>0</v>
      </c>
    </row>
    <row r="81" spans="1:7" ht="13.5" customHeight="1">
      <c r="A81" s="45" t="s">
        <v>101</v>
      </c>
      <c r="B81" s="19" t="s">
        <v>98</v>
      </c>
      <c r="C81" s="19" t="s">
        <v>38</v>
      </c>
      <c r="D81" s="19" t="s">
        <v>4</v>
      </c>
      <c r="E81" s="20">
        <f>10000-10000</f>
        <v>0</v>
      </c>
      <c r="F81" s="20">
        <v>0</v>
      </c>
      <c r="G81" s="41">
        <v>0</v>
      </c>
    </row>
    <row r="82" spans="1:7" ht="0" customHeight="1" hidden="1">
      <c r="A82" s="35" t="s">
        <v>102</v>
      </c>
      <c r="B82" s="15" t="s">
        <v>103</v>
      </c>
      <c r="C82" s="15" t="s">
        <v>54</v>
      </c>
      <c r="D82" s="15" t="s">
        <v>14</v>
      </c>
      <c r="E82" s="16">
        <f aca="true" t="shared" si="2" ref="E82:F84">E83</f>
        <v>25000</v>
      </c>
      <c r="F82" s="16">
        <f t="shared" si="2"/>
        <v>0</v>
      </c>
      <c r="G82" s="41">
        <f t="shared" si="1"/>
        <v>0</v>
      </c>
    </row>
    <row r="83" spans="1:7" ht="24.75" customHeight="1">
      <c r="A83" s="35" t="s">
        <v>151</v>
      </c>
      <c r="B83" s="19" t="s">
        <v>103</v>
      </c>
      <c r="C83" s="19" t="s">
        <v>39</v>
      </c>
      <c r="D83" s="19" t="s">
        <v>14</v>
      </c>
      <c r="E83" s="20">
        <f t="shared" si="2"/>
        <v>25000</v>
      </c>
      <c r="F83" s="20">
        <f t="shared" si="2"/>
        <v>0</v>
      </c>
      <c r="G83" s="41">
        <f t="shared" si="1"/>
        <v>0</v>
      </c>
    </row>
    <row r="84" spans="1:7" ht="12" customHeight="1">
      <c r="A84" s="48" t="s">
        <v>62</v>
      </c>
      <c r="B84" s="17" t="s">
        <v>103</v>
      </c>
      <c r="C84" s="17" t="s">
        <v>39</v>
      </c>
      <c r="D84" s="17" t="s">
        <v>14</v>
      </c>
      <c r="E84" s="18">
        <f t="shared" si="2"/>
        <v>25000</v>
      </c>
      <c r="F84" s="18">
        <f t="shared" si="2"/>
        <v>0</v>
      </c>
      <c r="G84" s="41">
        <f t="shared" si="1"/>
        <v>0</v>
      </c>
    </row>
    <row r="85" spans="1:7" ht="13.5" customHeight="1">
      <c r="A85" s="45" t="s">
        <v>101</v>
      </c>
      <c r="B85" s="19" t="s">
        <v>103</v>
      </c>
      <c r="C85" s="19" t="s">
        <v>39</v>
      </c>
      <c r="D85" s="19" t="s">
        <v>4</v>
      </c>
      <c r="E85" s="20">
        <v>25000</v>
      </c>
      <c r="F85" s="20">
        <v>0</v>
      </c>
      <c r="G85" s="41">
        <f t="shared" si="1"/>
        <v>0</v>
      </c>
    </row>
    <row r="86" spans="1:7" ht="14.25" customHeight="1">
      <c r="A86" s="35" t="s">
        <v>104</v>
      </c>
      <c r="B86" s="15" t="s">
        <v>105</v>
      </c>
      <c r="C86" s="15" t="s">
        <v>54</v>
      </c>
      <c r="D86" s="15" t="s">
        <v>14</v>
      </c>
      <c r="E86" s="16">
        <f>E87+E93+E97</f>
        <v>310000</v>
      </c>
      <c r="F86" s="16">
        <f>F87+F93+F97</f>
        <v>0</v>
      </c>
      <c r="G86" s="41">
        <v>0</v>
      </c>
    </row>
    <row r="87" spans="1:7" ht="15.75" customHeight="1">
      <c r="A87" s="48" t="s">
        <v>22</v>
      </c>
      <c r="B87" s="17" t="s">
        <v>106</v>
      </c>
      <c r="C87" s="17" t="s">
        <v>54</v>
      </c>
      <c r="D87" s="17" t="s">
        <v>14</v>
      </c>
      <c r="E87" s="18">
        <f>E88</f>
        <v>0</v>
      </c>
      <c r="F87" s="18">
        <f>F88</f>
        <v>0</v>
      </c>
      <c r="G87" s="41">
        <v>0</v>
      </c>
    </row>
    <row r="88" spans="1:7" ht="18" customHeight="1">
      <c r="A88" s="48" t="s">
        <v>40</v>
      </c>
      <c r="B88" s="17" t="s">
        <v>106</v>
      </c>
      <c r="C88" s="17" t="s">
        <v>54</v>
      </c>
      <c r="D88" s="17" t="s">
        <v>14</v>
      </c>
      <c r="E88" s="18">
        <f>E91+E89</f>
        <v>0</v>
      </c>
      <c r="F88" s="18">
        <f>F91+F89</f>
        <v>0</v>
      </c>
      <c r="G88" s="41">
        <v>0</v>
      </c>
    </row>
    <row r="89" spans="1:7" ht="0" customHeight="1" hidden="1">
      <c r="A89" s="35" t="s">
        <v>107</v>
      </c>
      <c r="B89" s="15" t="s">
        <v>106</v>
      </c>
      <c r="C89" s="15" t="s">
        <v>108</v>
      </c>
      <c r="D89" s="15" t="s">
        <v>14</v>
      </c>
      <c r="E89" s="16">
        <f>E90</f>
        <v>0</v>
      </c>
      <c r="F89" s="16">
        <f>F90</f>
        <v>0</v>
      </c>
      <c r="G89" s="41">
        <v>0</v>
      </c>
    </row>
    <row r="90" spans="1:7" ht="13.5" customHeight="1">
      <c r="A90" s="45" t="s">
        <v>100</v>
      </c>
      <c r="B90" s="19" t="s">
        <v>106</v>
      </c>
      <c r="C90" s="19" t="s">
        <v>108</v>
      </c>
      <c r="D90" s="19" t="s">
        <v>4</v>
      </c>
      <c r="E90" s="20">
        <v>0</v>
      </c>
      <c r="F90" s="20">
        <v>0</v>
      </c>
      <c r="G90" s="41">
        <v>0</v>
      </c>
    </row>
    <row r="91" spans="1:7" ht="14.25" customHeight="1">
      <c r="A91" s="35" t="s">
        <v>109</v>
      </c>
      <c r="B91" s="15" t="s">
        <v>106</v>
      </c>
      <c r="C91" s="15" t="s">
        <v>29</v>
      </c>
      <c r="D91" s="15" t="s">
        <v>14</v>
      </c>
      <c r="E91" s="16">
        <f>E92</f>
        <v>0</v>
      </c>
      <c r="F91" s="16">
        <f>F92</f>
        <v>0</v>
      </c>
      <c r="G91" s="41">
        <v>0</v>
      </c>
    </row>
    <row r="92" spans="1:7" ht="15" customHeight="1">
      <c r="A92" s="45" t="s">
        <v>100</v>
      </c>
      <c r="B92" s="19" t="s">
        <v>106</v>
      </c>
      <c r="C92" s="19" t="s">
        <v>29</v>
      </c>
      <c r="D92" s="19" t="s">
        <v>4</v>
      </c>
      <c r="E92" s="20">
        <f>250000-132388.99-117611.01</f>
        <v>0</v>
      </c>
      <c r="F92" s="20">
        <v>0</v>
      </c>
      <c r="G92" s="41">
        <v>0</v>
      </c>
    </row>
    <row r="93" spans="1:7" ht="18.75" customHeight="1" hidden="1">
      <c r="A93" s="48" t="s">
        <v>9</v>
      </c>
      <c r="B93" s="17" t="s">
        <v>110</v>
      </c>
      <c r="C93" s="17" t="s">
        <v>54</v>
      </c>
      <c r="D93" s="17" t="s">
        <v>14</v>
      </c>
      <c r="E93" s="18">
        <f aca="true" t="shared" si="3" ref="E93:F95">E94</f>
        <v>70000</v>
      </c>
      <c r="F93" s="18">
        <f t="shared" si="3"/>
        <v>0</v>
      </c>
      <c r="G93" s="41">
        <f t="shared" si="1"/>
        <v>0</v>
      </c>
    </row>
    <row r="94" spans="1:7" ht="15.75" customHeight="1">
      <c r="A94" s="35" t="s">
        <v>57</v>
      </c>
      <c r="B94" s="15" t="s">
        <v>110</v>
      </c>
      <c r="C94" s="15" t="s">
        <v>54</v>
      </c>
      <c r="D94" s="15" t="s">
        <v>14</v>
      </c>
      <c r="E94" s="16">
        <f t="shared" si="3"/>
        <v>70000</v>
      </c>
      <c r="F94" s="16">
        <f t="shared" si="3"/>
        <v>0</v>
      </c>
      <c r="G94" s="41">
        <f t="shared" si="1"/>
        <v>0</v>
      </c>
    </row>
    <row r="95" spans="1:7" ht="11.25" customHeight="1">
      <c r="A95" s="35" t="s">
        <v>111</v>
      </c>
      <c r="B95" s="15" t="s">
        <v>110</v>
      </c>
      <c r="C95" s="15" t="s">
        <v>30</v>
      </c>
      <c r="D95" s="15" t="s">
        <v>14</v>
      </c>
      <c r="E95" s="16">
        <f t="shared" si="3"/>
        <v>70000</v>
      </c>
      <c r="F95" s="16">
        <f t="shared" si="3"/>
        <v>0</v>
      </c>
      <c r="G95" s="41">
        <f t="shared" si="1"/>
        <v>0</v>
      </c>
    </row>
    <row r="96" spans="1:7" ht="13.5" customHeight="1">
      <c r="A96" s="45" t="s">
        <v>101</v>
      </c>
      <c r="B96" s="19" t="s">
        <v>110</v>
      </c>
      <c r="C96" s="19" t="s">
        <v>30</v>
      </c>
      <c r="D96" s="19" t="s">
        <v>4</v>
      </c>
      <c r="E96" s="20">
        <v>70000</v>
      </c>
      <c r="F96" s="20">
        <v>0</v>
      </c>
      <c r="G96" s="41">
        <f t="shared" si="1"/>
        <v>0</v>
      </c>
    </row>
    <row r="97" spans="1:7" ht="12" customHeight="1">
      <c r="A97" s="35" t="s">
        <v>2</v>
      </c>
      <c r="B97" s="15" t="s">
        <v>112</v>
      </c>
      <c r="C97" s="15" t="s">
        <v>54</v>
      </c>
      <c r="D97" s="15" t="s">
        <v>14</v>
      </c>
      <c r="E97" s="16">
        <f>E98</f>
        <v>240000</v>
      </c>
      <c r="F97" s="16">
        <f>F98</f>
        <v>0</v>
      </c>
      <c r="G97" s="41">
        <f t="shared" si="1"/>
        <v>0</v>
      </c>
    </row>
    <row r="98" spans="1:7" ht="13.5" customHeight="1" hidden="1">
      <c r="A98" s="48" t="s">
        <v>57</v>
      </c>
      <c r="B98" s="17" t="s">
        <v>112</v>
      </c>
      <c r="C98" s="17" t="s">
        <v>54</v>
      </c>
      <c r="D98" s="17" t="s">
        <v>14</v>
      </c>
      <c r="E98" s="18">
        <f>E99+E101</f>
        <v>240000</v>
      </c>
      <c r="F98" s="18">
        <f>F99</f>
        <v>0</v>
      </c>
      <c r="G98" s="41">
        <f t="shared" si="1"/>
        <v>0</v>
      </c>
    </row>
    <row r="99" spans="1:7" ht="14.25" customHeight="1">
      <c r="A99" s="48" t="s">
        <v>113</v>
      </c>
      <c r="B99" s="17" t="s">
        <v>112</v>
      </c>
      <c r="C99" s="17" t="s">
        <v>31</v>
      </c>
      <c r="D99" s="17" t="s">
        <v>4</v>
      </c>
      <c r="E99" s="18">
        <f>E100</f>
        <v>45000</v>
      </c>
      <c r="F99" s="18">
        <f>F100</f>
        <v>0</v>
      </c>
      <c r="G99" s="41">
        <f t="shared" si="1"/>
        <v>0</v>
      </c>
    </row>
    <row r="100" spans="1:7" ht="18.75" customHeight="1">
      <c r="A100" s="45" t="s">
        <v>114</v>
      </c>
      <c r="B100" s="19" t="s">
        <v>112</v>
      </c>
      <c r="C100" s="19" t="s">
        <v>31</v>
      </c>
      <c r="D100" s="19" t="s">
        <v>4</v>
      </c>
      <c r="E100" s="20">
        <f>195000-150000</f>
        <v>45000</v>
      </c>
      <c r="F100" s="20">
        <v>0</v>
      </c>
      <c r="G100" s="41">
        <f t="shared" si="1"/>
        <v>0</v>
      </c>
    </row>
    <row r="101" spans="1:7" ht="17.25" customHeight="1">
      <c r="A101" s="45" t="s">
        <v>115</v>
      </c>
      <c r="B101" s="19" t="s">
        <v>112</v>
      </c>
      <c r="C101" s="19" t="s">
        <v>31</v>
      </c>
      <c r="D101" s="19" t="s">
        <v>4</v>
      </c>
      <c r="E101" s="20">
        <v>195000</v>
      </c>
      <c r="F101" s="20">
        <v>0</v>
      </c>
      <c r="G101" s="41">
        <f t="shared" si="1"/>
        <v>0</v>
      </c>
    </row>
    <row r="102" spans="1:7" ht="1.5" customHeight="1" hidden="1">
      <c r="A102" s="46"/>
      <c r="B102" s="21"/>
      <c r="C102" s="21"/>
      <c r="D102" s="21"/>
      <c r="E102" s="21"/>
      <c r="F102" s="21"/>
      <c r="G102" s="41" t="e">
        <f t="shared" si="1"/>
        <v>#DIV/0!</v>
      </c>
    </row>
    <row r="103" spans="1:7" ht="26.25" customHeight="1">
      <c r="A103" s="35" t="s">
        <v>116</v>
      </c>
      <c r="B103" s="24" t="s">
        <v>117</v>
      </c>
      <c r="C103" s="24" t="s">
        <v>54</v>
      </c>
      <c r="D103" s="24" t="s">
        <v>14</v>
      </c>
      <c r="E103" s="25">
        <f>E104</f>
        <v>900</v>
      </c>
      <c r="F103" s="25" t="str">
        <f>F104</f>
        <v>0,00</v>
      </c>
      <c r="G103" s="41">
        <f t="shared" si="1"/>
        <v>0</v>
      </c>
    </row>
    <row r="104" spans="1:7" ht="16.5" customHeight="1">
      <c r="A104" s="48" t="s">
        <v>118</v>
      </c>
      <c r="B104" s="26" t="s">
        <v>117</v>
      </c>
      <c r="C104" s="26" t="s">
        <v>54</v>
      </c>
      <c r="D104" s="26" t="s">
        <v>14</v>
      </c>
      <c r="E104" s="27">
        <f>E105</f>
        <v>900</v>
      </c>
      <c r="F104" s="27" t="str">
        <f>F105</f>
        <v>0,00</v>
      </c>
      <c r="G104" s="41">
        <f t="shared" si="1"/>
        <v>0</v>
      </c>
    </row>
    <row r="105" spans="1:7" ht="12" customHeight="1">
      <c r="A105" s="50" t="s">
        <v>100</v>
      </c>
      <c r="B105" s="28" t="s">
        <v>117</v>
      </c>
      <c r="C105" s="28" t="s">
        <v>119</v>
      </c>
      <c r="D105" s="28" t="s">
        <v>4</v>
      </c>
      <c r="E105" s="29">
        <v>900</v>
      </c>
      <c r="F105" s="29" t="s">
        <v>120</v>
      </c>
      <c r="G105" s="41">
        <f t="shared" si="1"/>
        <v>0</v>
      </c>
    </row>
    <row r="106" spans="1:7" ht="12" customHeight="1">
      <c r="A106" s="51" t="s">
        <v>121</v>
      </c>
      <c r="B106" s="30" t="s">
        <v>122</v>
      </c>
      <c r="C106" s="30" t="s">
        <v>54</v>
      </c>
      <c r="D106" s="30" t="s">
        <v>14</v>
      </c>
      <c r="E106" s="31">
        <f>E107+E128</f>
        <v>4703280.59</v>
      </c>
      <c r="F106" s="31">
        <f>F107+F128</f>
        <v>2492664.9799999995</v>
      </c>
      <c r="G106" s="41">
        <f t="shared" si="1"/>
        <v>0.5299843231339084</v>
      </c>
    </row>
    <row r="107" spans="1:7" ht="12" customHeight="1">
      <c r="A107" s="35" t="s">
        <v>123</v>
      </c>
      <c r="B107" s="15" t="s">
        <v>122</v>
      </c>
      <c r="C107" s="15" t="s">
        <v>54</v>
      </c>
      <c r="D107" s="15" t="s">
        <v>14</v>
      </c>
      <c r="E107" s="16">
        <f>E108+E109+E110+E119+E111</f>
        <v>3604402.0300000003</v>
      </c>
      <c r="F107" s="16">
        <f>F108+F109+F110+F119+F111</f>
        <v>2115571.01</v>
      </c>
      <c r="G107" s="41">
        <v>0</v>
      </c>
    </row>
    <row r="108" spans="1:7" ht="12" customHeight="1">
      <c r="A108" s="48" t="s">
        <v>57</v>
      </c>
      <c r="B108" s="17" t="s">
        <v>122</v>
      </c>
      <c r="C108" s="17" t="s">
        <v>42</v>
      </c>
      <c r="D108" s="17" t="s">
        <v>14</v>
      </c>
      <c r="E108" s="18">
        <f>E112+E116</f>
        <v>400000</v>
      </c>
      <c r="F108" s="18">
        <f>F112+F116</f>
        <v>266443.53</v>
      </c>
      <c r="G108" s="41">
        <f t="shared" si="1"/>
        <v>0.666108825</v>
      </c>
    </row>
    <row r="109" spans="1:7" ht="10.5" customHeight="1">
      <c r="A109" s="48" t="s">
        <v>57</v>
      </c>
      <c r="B109" s="17" t="s">
        <v>122</v>
      </c>
      <c r="C109" s="17" t="s">
        <v>43</v>
      </c>
      <c r="D109" s="17" t="s">
        <v>14</v>
      </c>
      <c r="E109" s="18">
        <f>E113+E117</f>
        <v>786968</v>
      </c>
      <c r="F109" s="18">
        <f>F113+F117</f>
        <v>303430.14</v>
      </c>
      <c r="G109" s="41">
        <f t="shared" si="1"/>
        <v>0.3855685872869037</v>
      </c>
    </row>
    <row r="110" spans="1:7" ht="12.75" customHeight="1">
      <c r="A110" s="48" t="s">
        <v>57</v>
      </c>
      <c r="B110" s="17" t="s">
        <v>122</v>
      </c>
      <c r="C110" s="17" t="s">
        <v>41</v>
      </c>
      <c r="D110" s="17" t="s">
        <v>14</v>
      </c>
      <c r="E110" s="18">
        <f>E114+E115+E118</f>
        <v>1202234.03</v>
      </c>
      <c r="F110" s="18">
        <f>F114+F115+F118</f>
        <v>753581.33</v>
      </c>
      <c r="G110" s="41">
        <f t="shared" si="1"/>
        <v>0.6268175007490013</v>
      </c>
    </row>
    <row r="111" spans="1:7" ht="12.75" customHeight="1">
      <c r="A111" s="48" t="s">
        <v>57</v>
      </c>
      <c r="B111" s="17" t="s">
        <v>122</v>
      </c>
      <c r="C111" s="17" t="s">
        <v>124</v>
      </c>
      <c r="D111" s="17" t="s">
        <v>14</v>
      </c>
      <c r="E111" s="18">
        <f>E125</f>
        <v>296200</v>
      </c>
      <c r="F111" s="18">
        <f>F125</f>
        <v>296200</v>
      </c>
      <c r="G111" s="41">
        <f t="shared" si="1"/>
        <v>1</v>
      </c>
    </row>
    <row r="112" spans="1:7" ht="12" customHeight="1">
      <c r="A112" s="49" t="s">
        <v>79</v>
      </c>
      <c r="B112" s="19" t="s">
        <v>122</v>
      </c>
      <c r="C112" s="19" t="s">
        <v>42</v>
      </c>
      <c r="D112" s="19" t="s">
        <v>5</v>
      </c>
      <c r="E112" s="20">
        <v>307219</v>
      </c>
      <c r="F112" s="20">
        <v>205352.25</v>
      </c>
      <c r="G112" s="41">
        <f t="shared" si="1"/>
        <v>0.6684230142015956</v>
      </c>
    </row>
    <row r="113" spans="1:7" ht="9.75" customHeight="1">
      <c r="A113" s="49" t="s">
        <v>79</v>
      </c>
      <c r="B113" s="19" t="s">
        <v>122</v>
      </c>
      <c r="C113" s="19" t="s">
        <v>43</v>
      </c>
      <c r="D113" s="19" t="s">
        <v>5</v>
      </c>
      <c r="E113" s="20">
        <v>604430</v>
      </c>
      <c r="F113" s="20">
        <v>233429.45</v>
      </c>
      <c r="G113" s="41">
        <f t="shared" si="1"/>
        <v>0.3861976572969575</v>
      </c>
    </row>
    <row r="114" spans="1:7" ht="12" customHeight="1">
      <c r="A114" s="49" t="s">
        <v>79</v>
      </c>
      <c r="B114" s="19" t="s">
        <v>122</v>
      </c>
      <c r="C114" s="19" t="s">
        <v>41</v>
      </c>
      <c r="D114" s="19" t="s">
        <v>5</v>
      </c>
      <c r="E114" s="20">
        <v>861930.89</v>
      </c>
      <c r="F114" s="20">
        <v>557999.63</v>
      </c>
      <c r="G114" s="41">
        <f t="shared" si="1"/>
        <v>0.6473832606231342</v>
      </c>
    </row>
    <row r="115" spans="1:7" ht="15.75" customHeight="1">
      <c r="A115" s="49" t="s">
        <v>87</v>
      </c>
      <c r="B115" s="19" t="s">
        <v>122</v>
      </c>
      <c r="C115" s="19" t="s">
        <v>41</v>
      </c>
      <c r="D115" s="19" t="s">
        <v>10</v>
      </c>
      <c r="E115" s="20">
        <v>80000</v>
      </c>
      <c r="F115" s="20">
        <f>416+416+7936</f>
        <v>8768</v>
      </c>
      <c r="G115" s="41">
        <f t="shared" si="1"/>
        <v>0.1096</v>
      </c>
    </row>
    <row r="116" spans="1:7" ht="12.75" customHeight="1">
      <c r="A116" s="49" t="s">
        <v>81</v>
      </c>
      <c r="B116" s="19" t="s">
        <v>122</v>
      </c>
      <c r="C116" s="19" t="s">
        <v>42</v>
      </c>
      <c r="D116" s="19" t="s">
        <v>35</v>
      </c>
      <c r="E116" s="20">
        <v>92781</v>
      </c>
      <c r="F116" s="20">
        <f>21840.51+12069.15+27181.62</f>
        <v>61091.28</v>
      </c>
      <c r="G116" s="41">
        <f t="shared" si="1"/>
        <v>0.6584460180424871</v>
      </c>
    </row>
    <row r="117" spans="1:7" ht="12" customHeight="1">
      <c r="A117" s="49" t="s">
        <v>81</v>
      </c>
      <c r="B117" s="19" t="s">
        <v>122</v>
      </c>
      <c r="C117" s="19" t="s">
        <v>43</v>
      </c>
      <c r="D117" s="19" t="s">
        <v>35</v>
      </c>
      <c r="E117" s="20">
        <v>182538</v>
      </c>
      <c r="F117" s="20">
        <f>52593.82+17406.87</f>
        <v>70000.69</v>
      </c>
      <c r="G117" s="41">
        <f t="shared" si="1"/>
        <v>0.3834855756061752</v>
      </c>
    </row>
    <row r="118" spans="1:7" ht="12" customHeight="1">
      <c r="A118" s="49" t="s">
        <v>81</v>
      </c>
      <c r="B118" s="19" t="s">
        <v>122</v>
      </c>
      <c r="C118" s="19" t="s">
        <v>41</v>
      </c>
      <c r="D118" s="19" t="s">
        <v>35</v>
      </c>
      <c r="E118" s="20">
        <v>260303.14</v>
      </c>
      <c r="F118" s="20">
        <f>29839.18+21079.16+66889.68+69005.68</f>
        <v>186813.69999999998</v>
      </c>
      <c r="G118" s="41">
        <f t="shared" si="1"/>
        <v>0.717677474040459</v>
      </c>
    </row>
    <row r="119" spans="1:7" ht="11.25" customHeight="1">
      <c r="A119" s="48" t="s">
        <v>62</v>
      </c>
      <c r="B119" s="17" t="s">
        <v>122</v>
      </c>
      <c r="C119" s="17" t="s">
        <v>41</v>
      </c>
      <c r="D119" s="17" t="s">
        <v>14</v>
      </c>
      <c r="E119" s="18">
        <f>E120+E121+E122+E123+E124</f>
        <v>919000</v>
      </c>
      <c r="F119" s="18">
        <f>F120+F121+F122+F123+F124</f>
        <v>495916.01</v>
      </c>
      <c r="G119" s="41">
        <v>0</v>
      </c>
    </row>
    <row r="120" spans="1:7" ht="10.5" customHeight="1">
      <c r="A120" s="45" t="s">
        <v>125</v>
      </c>
      <c r="B120" s="19" t="s">
        <v>122</v>
      </c>
      <c r="C120" s="19" t="s">
        <v>41</v>
      </c>
      <c r="D120" s="19" t="s">
        <v>11</v>
      </c>
      <c r="E120" s="20">
        <v>33500</v>
      </c>
      <c r="F120" s="20">
        <v>14250</v>
      </c>
      <c r="G120" s="41">
        <f t="shared" si="1"/>
        <v>0.4253731343283582</v>
      </c>
    </row>
    <row r="121" spans="1:7" ht="12" customHeight="1">
      <c r="A121" s="45" t="s">
        <v>114</v>
      </c>
      <c r="B121" s="19" t="s">
        <v>122</v>
      </c>
      <c r="C121" s="19" t="s">
        <v>41</v>
      </c>
      <c r="D121" s="19" t="s">
        <v>4</v>
      </c>
      <c r="E121" s="20">
        <f>1000000-178000+60000</f>
        <v>882000</v>
      </c>
      <c r="F121" s="20">
        <f>406379.69+73781.45</f>
        <v>480161.14</v>
      </c>
      <c r="G121" s="41">
        <v>0</v>
      </c>
    </row>
    <row r="122" spans="1:7" ht="12.75" customHeight="1">
      <c r="A122" s="45" t="s">
        <v>126</v>
      </c>
      <c r="B122" s="19" t="s">
        <v>122</v>
      </c>
      <c r="C122" s="19" t="s">
        <v>41</v>
      </c>
      <c r="D122" s="19" t="s">
        <v>6</v>
      </c>
      <c r="E122" s="20">
        <f>2500-175.87</f>
        <v>2324.13</v>
      </c>
      <c r="F122" s="20">
        <f>329</f>
        <v>329</v>
      </c>
      <c r="G122" s="41">
        <v>0</v>
      </c>
    </row>
    <row r="123" spans="1:7" ht="12.75" customHeight="1">
      <c r="A123" s="45" t="s">
        <v>68</v>
      </c>
      <c r="B123" s="19" t="s">
        <v>122</v>
      </c>
      <c r="C123" s="19" t="s">
        <v>41</v>
      </c>
      <c r="D123" s="19" t="s">
        <v>12</v>
      </c>
      <c r="E123" s="20">
        <v>0</v>
      </c>
      <c r="F123" s="20">
        <v>0</v>
      </c>
      <c r="G123" s="41">
        <v>0</v>
      </c>
    </row>
    <row r="124" spans="1:7" ht="14.25" customHeight="1">
      <c r="A124" s="45" t="s">
        <v>69</v>
      </c>
      <c r="B124" s="19" t="s">
        <v>122</v>
      </c>
      <c r="C124" s="19" t="s">
        <v>41</v>
      </c>
      <c r="D124" s="19" t="s">
        <v>28</v>
      </c>
      <c r="E124" s="20">
        <f>1000+175.87</f>
        <v>1175.87</v>
      </c>
      <c r="F124" s="20">
        <f>443.84+732.03</f>
        <v>1175.87</v>
      </c>
      <c r="G124" s="41">
        <f t="shared" si="1"/>
        <v>1</v>
      </c>
    </row>
    <row r="125" spans="1:7" ht="12" customHeight="1">
      <c r="A125" s="48" t="s">
        <v>62</v>
      </c>
      <c r="B125" s="17" t="s">
        <v>122</v>
      </c>
      <c r="C125" s="17" t="s">
        <v>124</v>
      </c>
      <c r="D125" s="17" t="s">
        <v>14</v>
      </c>
      <c r="E125" s="18">
        <f>E126+E127</f>
        <v>296200</v>
      </c>
      <c r="F125" s="18">
        <f>F126+F127</f>
        <v>296200</v>
      </c>
      <c r="G125" s="41">
        <f t="shared" si="1"/>
        <v>1</v>
      </c>
    </row>
    <row r="126" spans="1:7" ht="12" customHeight="1">
      <c r="A126" s="45" t="s">
        <v>64</v>
      </c>
      <c r="B126" s="19" t="s">
        <v>122</v>
      </c>
      <c r="C126" s="19" t="s">
        <v>124</v>
      </c>
      <c r="D126" s="19" t="s">
        <v>4</v>
      </c>
      <c r="E126" s="20">
        <v>178200</v>
      </c>
      <c r="F126" s="20">
        <v>178200</v>
      </c>
      <c r="G126" s="41">
        <f t="shared" si="1"/>
        <v>1</v>
      </c>
    </row>
    <row r="127" spans="1:7" ht="12" customHeight="1">
      <c r="A127" s="45" t="s">
        <v>64</v>
      </c>
      <c r="B127" s="19" t="s">
        <v>122</v>
      </c>
      <c r="C127" s="19" t="s">
        <v>127</v>
      </c>
      <c r="D127" s="19" t="s">
        <v>4</v>
      </c>
      <c r="E127" s="20">
        <v>118000</v>
      </c>
      <c r="F127" s="20">
        <v>118000</v>
      </c>
      <c r="G127" s="41">
        <f t="shared" si="1"/>
        <v>1</v>
      </c>
    </row>
    <row r="128" spans="1:7" ht="12" customHeight="1">
      <c r="A128" s="35" t="s">
        <v>128</v>
      </c>
      <c r="B128" s="15" t="s">
        <v>122</v>
      </c>
      <c r="C128" s="15" t="s">
        <v>54</v>
      </c>
      <c r="D128" s="15" t="s">
        <v>14</v>
      </c>
      <c r="E128" s="16">
        <f>E129+E130+E131+E139+E141</f>
        <v>1098878.56</v>
      </c>
      <c r="F128" s="16">
        <f>F129+F130+F131+F139+F141</f>
        <v>377093.97</v>
      </c>
      <c r="G128" s="41">
        <f t="shared" si="1"/>
        <v>0.34316255110118804</v>
      </c>
    </row>
    <row r="129" spans="1:7" ht="12" customHeight="1">
      <c r="A129" s="48" t="s">
        <v>57</v>
      </c>
      <c r="B129" s="17" t="s">
        <v>122</v>
      </c>
      <c r="C129" s="17" t="s">
        <v>44</v>
      </c>
      <c r="D129" s="17" t="s">
        <v>14</v>
      </c>
      <c r="E129" s="18">
        <f>E132+E136</f>
        <v>210000</v>
      </c>
      <c r="F129" s="18">
        <f>F132+F136</f>
        <v>176635.02999999997</v>
      </c>
      <c r="G129" s="41">
        <f t="shared" si="1"/>
        <v>0.8411191904761903</v>
      </c>
    </row>
    <row r="130" spans="1:7" ht="12" customHeight="1">
      <c r="A130" s="48" t="s">
        <v>57</v>
      </c>
      <c r="B130" s="17" t="s">
        <v>122</v>
      </c>
      <c r="C130" s="17" t="s">
        <v>46</v>
      </c>
      <c r="D130" s="17" t="s">
        <v>14</v>
      </c>
      <c r="E130" s="18">
        <f>E133+E137</f>
        <v>564131</v>
      </c>
      <c r="F130" s="18">
        <f>F133+F137</f>
        <v>173794.94</v>
      </c>
      <c r="G130" s="41">
        <f t="shared" si="1"/>
        <v>0.30807550019410385</v>
      </c>
    </row>
    <row r="131" spans="1:7" ht="12" customHeight="1">
      <c r="A131" s="48" t="s">
        <v>57</v>
      </c>
      <c r="B131" s="17" t="s">
        <v>122</v>
      </c>
      <c r="C131" s="17" t="s">
        <v>45</v>
      </c>
      <c r="D131" s="17" t="s">
        <v>14</v>
      </c>
      <c r="E131" s="18">
        <f>E134+E135+E138</f>
        <v>314435.97</v>
      </c>
      <c r="F131" s="18">
        <f>F134+F135+F138</f>
        <v>26664</v>
      </c>
      <c r="G131" s="41">
        <f t="shared" si="1"/>
        <v>0.08479945853523056</v>
      </c>
    </row>
    <row r="132" spans="1:7" ht="12" customHeight="1">
      <c r="A132" s="49" t="s">
        <v>79</v>
      </c>
      <c r="B132" s="19" t="s">
        <v>122</v>
      </c>
      <c r="C132" s="19" t="s">
        <v>44</v>
      </c>
      <c r="D132" s="19" t="s">
        <v>5</v>
      </c>
      <c r="E132" s="20">
        <v>161290</v>
      </c>
      <c r="F132" s="20">
        <v>135664.36</v>
      </c>
      <c r="G132" s="41">
        <f aca="true" t="shared" si="4" ref="G132:G156">F132/E132*100%</f>
        <v>0.8411207142414284</v>
      </c>
    </row>
    <row r="133" spans="1:7" ht="12" customHeight="1">
      <c r="A133" s="49" t="s">
        <v>79</v>
      </c>
      <c r="B133" s="19" t="s">
        <v>122</v>
      </c>
      <c r="C133" s="19" t="s">
        <v>46</v>
      </c>
      <c r="D133" s="19" t="s">
        <v>5</v>
      </c>
      <c r="E133" s="20">
        <v>433280</v>
      </c>
      <c r="F133" s="20">
        <v>133483.06</v>
      </c>
      <c r="G133" s="41">
        <f t="shared" si="4"/>
        <v>0.30807574778434266</v>
      </c>
    </row>
    <row r="134" spans="1:7" ht="12" customHeight="1">
      <c r="A134" s="49" t="s">
        <v>79</v>
      </c>
      <c r="B134" s="19" t="s">
        <v>122</v>
      </c>
      <c r="C134" s="19" t="s">
        <v>45</v>
      </c>
      <c r="D134" s="19" t="s">
        <v>5</v>
      </c>
      <c r="E134" s="32">
        <v>218460.8</v>
      </c>
      <c r="F134" s="20">
        <f>20000</f>
        <v>20000</v>
      </c>
      <c r="G134" s="41">
        <f t="shared" si="4"/>
        <v>0.09154960523810222</v>
      </c>
    </row>
    <row r="135" spans="1:7" ht="13.5" customHeight="1">
      <c r="A135" s="49" t="s">
        <v>87</v>
      </c>
      <c r="B135" s="19" t="s">
        <v>122</v>
      </c>
      <c r="C135" s="19" t="s">
        <v>45</v>
      </c>
      <c r="D135" s="19" t="s">
        <v>10</v>
      </c>
      <c r="E135" s="20">
        <f>30000</f>
        <v>30000</v>
      </c>
      <c r="F135" s="20">
        <f>416+208</f>
        <v>624</v>
      </c>
      <c r="G135" s="41">
        <f t="shared" si="4"/>
        <v>0.0208</v>
      </c>
    </row>
    <row r="136" spans="1:7" ht="13.5" customHeight="1">
      <c r="A136" s="49" t="s">
        <v>81</v>
      </c>
      <c r="B136" s="19" t="s">
        <v>122</v>
      </c>
      <c r="C136" s="19" t="s">
        <v>44</v>
      </c>
      <c r="D136" s="19" t="s">
        <v>35</v>
      </c>
      <c r="E136" s="20">
        <v>48710</v>
      </c>
      <c r="F136" s="20">
        <f>15743.85+7983.17+17243.65</f>
        <v>40970.67</v>
      </c>
      <c r="G136" s="41">
        <f t="shared" si="4"/>
        <v>0.8411141449394375</v>
      </c>
    </row>
    <row r="137" spans="1:7" ht="12" customHeight="1">
      <c r="A137" s="49" t="s">
        <v>81</v>
      </c>
      <c r="B137" s="19" t="s">
        <v>122</v>
      </c>
      <c r="C137" s="19" t="s">
        <v>46</v>
      </c>
      <c r="D137" s="19" t="s">
        <v>35</v>
      </c>
      <c r="E137" s="20">
        <v>130851</v>
      </c>
      <c r="F137" s="20">
        <f>31927.51+8384.37</f>
        <v>40311.88</v>
      </c>
      <c r="G137" s="41">
        <v>0</v>
      </c>
    </row>
    <row r="138" spans="1:7" ht="12" customHeight="1">
      <c r="A138" s="49" t="s">
        <v>81</v>
      </c>
      <c r="B138" s="19" t="s">
        <v>122</v>
      </c>
      <c r="C138" s="19" t="s">
        <v>45</v>
      </c>
      <c r="D138" s="19" t="s">
        <v>35</v>
      </c>
      <c r="E138" s="32">
        <v>65975.17</v>
      </c>
      <c r="F138" s="20">
        <f>6040</f>
        <v>6040</v>
      </c>
      <c r="G138" s="41">
        <v>0</v>
      </c>
    </row>
    <row r="139" spans="1:7" ht="12" customHeight="1">
      <c r="A139" s="52" t="s">
        <v>62</v>
      </c>
      <c r="B139" s="17" t="s">
        <v>122</v>
      </c>
      <c r="C139" s="17" t="s">
        <v>45</v>
      </c>
      <c r="D139" s="17" t="s">
        <v>14</v>
      </c>
      <c r="E139" s="33">
        <f>E140</f>
        <v>10000</v>
      </c>
      <c r="F139" s="33">
        <f>F140</f>
        <v>0</v>
      </c>
      <c r="G139" s="41">
        <v>0</v>
      </c>
    </row>
    <row r="140" spans="1:7" ht="12" customHeight="1">
      <c r="A140" s="45" t="s">
        <v>101</v>
      </c>
      <c r="B140" s="19" t="s">
        <v>122</v>
      </c>
      <c r="C140" s="19" t="s">
        <v>45</v>
      </c>
      <c r="D140" s="19" t="s">
        <v>4</v>
      </c>
      <c r="E140" s="20">
        <v>10000</v>
      </c>
      <c r="F140" s="20">
        <v>0</v>
      </c>
      <c r="G140" s="41">
        <v>0</v>
      </c>
    </row>
    <row r="141" spans="1:7" ht="12" customHeight="1">
      <c r="A141" s="52" t="s">
        <v>129</v>
      </c>
      <c r="B141" s="17" t="s">
        <v>122</v>
      </c>
      <c r="C141" s="17" t="s">
        <v>54</v>
      </c>
      <c r="D141" s="17" t="s">
        <v>14</v>
      </c>
      <c r="E141" s="33">
        <f>E144+E142+E145+E143</f>
        <v>311.59</v>
      </c>
      <c r="F141" s="33">
        <f>F144+F142+F145+F143</f>
        <v>0</v>
      </c>
      <c r="G141" s="41">
        <v>0</v>
      </c>
    </row>
    <row r="142" spans="1:7" ht="0.75" customHeight="1">
      <c r="A142" s="45" t="s">
        <v>130</v>
      </c>
      <c r="B142" s="19" t="s">
        <v>122</v>
      </c>
      <c r="C142" s="19" t="s">
        <v>131</v>
      </c>
      <c r="D142" s="19" t="s">
        <v>4</v>
      </c>
      <c r="E142" s="32">
        <f>300-300</f>
        <v>0</v>
      </c>
      <c r="F142" s="32">
        <v>0</v>
      </c>
      <c r="G142" s="41" t="e">
        <f t="shared" si="4"/>
        <v>#DIV/0!</v>
      </c>
    </row>
    <row r="143" spans="1:7" ht="13.5" customHeight="1">
      <c r="A143" s="45" t="s">
        <v>130</v>
      </c>
      <c r="B143" s="19" t="s">
        <v>122</v>
      </c>
      <c r="C143" s="19" t="s">
        <v>132</v>
      </c>
      <c r="D143" s="19" t="s">
        <v>4</v>
      </c>
      <c r="E143" s="32">
        <f>296.01+15.58</f>
        <v>311.59</v>
      </c>
      <c r="F143" s="32">
        <v>0</v>
      </c>
      <c r="G143" s="41">
        <f t="shared" si="4"/>
        <v>0</v>
      </c>
    </row>
    <row r="144" spans="1:7" ht="13.5" customHeight="1">
      <c r="A144" s="45" t="s">
        <v>130</v>
      </c>
      <c r="B144" s="19" t="s">
        <v>122</v>
      </c>
      <c r="C144" s="19" t="s">
        <v>133</v>
      </c>
      <c r="D144" s="19" t="s">
        <v>4</v>
      </c>
      <c r="E144" s="20">
        <v>0</v>
      </c>
      <c r="F144" s="20">
        <v>0</v>
      </c>
      <c r="G144" s="41">
        <v>0</v>
      </c>
    </row>
    <row r="145" spans="1:7" ht="13.5" customHeight="1">
      <c r="A145" s="45" t="s">
        <v>130</v>
      </c>
      <c r="B145" s="19" t="s">
        <v>122</v>
      </c>
      <c r="C145" s="19" t="s">
        <v>134</v>
      </c>
      <c r="D145" s="19" t="s">
        <v>4</v>
      </c>
      <c r="E145" s="20">
        <v>0</v>
      </c>
      <c r="F145" s="20">
        <v>0</v>
      </c>
      <c r="G145" s="41">
        <v>0</v>
      </c>
    </row>
    <row r="146" spans="1:7" ht="1.5" customHeight="1" hidden="1">
      <c r="A146" s="46"/>
      <c r="B146" s="21"/>
      <c r="C146" s="21"/>
      <c r="D146" s="21"/>
      <c r="E146" s="21"/>
      <c r="F146" s="21"/>
      <c r="G146" s="41" t="e">
        <f t="shared" si="4"/>
        <v>#DIV/0!</v>
      </c>
    </row>
    <row r="147" spans="1:7" ht="17.25" customHeight="1">
      <c r="A147" s="35" t="s">
        <v>135</v>
      </c>
      <c r="B147" s="15" t="s">
        <v>136</v>
      </c>
      <c r="C147" s="15" t="s">
        <v>54</v>
      </c>
      <c r="D147" s="15" t="s">
        <v>14</v>
      </c>
      <c r="E147" s="16">
        <f>E148</f>
        <v>87739.18</v>
      </c>
      <c r="F147" s="16">
        <f>F148</f>
        <v>10883.52</v>
      </c>
      <c r="G147" s="41">
        <f t="shared" si="4"/>
        <v>0.12404401317632557</v>
      </c>
    </row>
    <row r="148" spans="1:7" ht="15.75" customHeight="1">
      <c r="A148" s="48" t="s">
        <v>47</v>
      </c>
      <c r="B148" s="17" t="s">
        <v>136</v>
      </c>
      <c r="C148" s="17" t="s">
        <v>48</v>
      </c>
      <c r="D148" s="17" t="s">
        <v>14</v>
      </c>
      <c r="E148" s="18">
        <f>E149</f>
        <v>87739.18</v>
      </c>
      <c r="F148" s="18">
        <f>F149</f>
        <v>10883.52</v>
      </c>
      <c r="G148" s="41">
        <f t="shared" si="4"/>
        <v>0.12404401317632557</v>
      </c>
    </row>
    <row r="149" spans="1:7" ht="13.5" customHeight="1">
      <c r="A149" s="49" t="s">
        <v>137</v>
      </c>
      <c r="B149" s="19" t="s">
        <v>136</v>
      </c>
      <c r="C149" s="19" t="s">
        <v>48</v>
      </c>
      <c r="D149" s="19" t="s">
        <v>10</v>
      </c>
      <c r="E149" s="20">
        <f>100000-98-12162.82</f>
        <v>87739.18</v>
      </c>
      <c r="F149" s="20">
        <f>7255.68+3627.84</f>
        <v>10883.52</v>
      </c>
      <c r="G149" s="41">
        <f t="shared" si="4"/>
        <v>0.12404401317632557</v>
      </c>
    </row>
    <row r="150" spans="1:7" ht="3" customHeight="1" hidden="1">
      <c r="A150" s="43" t="s">
        <v>138</v>
      </c>
      <c r="B150" s="15" t="s">
        <v>139</v>
      </c>
      <c r="C150" s="15" t="s">
        <v>54</v>
      </c>
      <c r="D150" s="15" t="s">
        <v>14</v>
      </c>
      <c r="E150" s="16">
        <f>E151</f>
        <v>4624800</v>
      </c>
      <c r="F150" s="16">
        <f>F151</f>
        <v>0</v>
      </c>
      <c r="G150" s="41">
        <f t="shared" si="4"/>
        <v>0</v>
      </c>
    </row>
    <row r="151" spans="1:7" ht="12" customHeight="1">
      <c r="A151" s="44" t="s">
        <v>138</v>
      </c>
      <c r="B151" s="17" t="s">
        <v>139</v>
      </c>
      <c r="C151" s="17" t="s">
        <v>140</v>
      </c>
      <c r="D151" s="17" t="s">
        <v>4</v>
      </c>
      <c r="E151" s="18">
        <f>E152</f>
        <v>4624800</v>
      </c>
      <c r="F151" s="18">
        <f>F152</f>
        <v>0</v>
      </c>
      <c r="G151" s="41">
        <v>0</v>
      </c>
    </row>
    <row r="152" spans="1:7" ht="15" customHeight="1">
      <c r="A152" s="45" t="s">
        <v>20</v>
      </c>
      <c r="B152" s="19" t="s">
        <v>139</v>
      </c>
      <c r="C152" s="19" t="s">
        <v>140</v>
      </c>
      <c r="D152" s="19" t="s">
        <v>4</v>
      </c>
      <c r="E152" s="20">
        <v>4624800</v>
      </c>
      <c r="F152" s="20">
        <v>0</v>
      </c>
      <c r="G152" s="41">
        <v>0</v>
      </c>
    </row>
    <row r="153" spans="1:7" ht="0.75" customHeight="1">
      <c r="A153" s="35" t="s">
        <v>141</v>
      </c>
      <c r="B153" s="15" t="s">
        <v>142</v>
      </c>
      <c r="C153" s="15" t="s">
        <v>54</v>
      </c>
      <c r="D153" s="15" t="s">
        <v>14</v>
      </c>
      <c r="E153" s="16">
        <f>E154</f>
        <v>11680</v>
      </c>
      <c r="F153" s="16">
        <f>F154</f>
        <v>0</v>
      </c>
      <c r="G153" s="41">
        <f t="shared" si="4"/>
        <v>0</v>
      </c>
    </row>
    <row r="154" spans="1:7" ht="15" customHeight="1">
      <c r="A154" s="48" t="s">
        <v>143</v>
      </c>
      <c r="B154" s="17" t="s">
        <v>142</v>
      </c>
      <c r="C154" s="17" t="s">
        <v>33</v>
      </c>
      <c r="D154" s="17" t="s">
        <v>14</v>
      </c>
      <c r="E154" s="18">
        <f>E155</f>
        <v>11680</v>
      </c>
      <c r="F154" s="18">
        <f>F155</f>
        <v>0</v>
      </c>
      <c r="G154" s="41">
        <f t="shared" si="4"/>
        <v>0</v>
      </c>
    </row>
    <row r="155" spans="1:7" ht="15" customHeight="1">
      <c r="A155" s="49" t="s">
        <v>144</v>
      </c>
      <c r="B155" s="19" t="s">
        <v>142</v>
      </c>
      <c r="C155" s="19" t="s">
        <v>33</v>
      </c>
      <c r="D155" s="19" t="s">
        <v>3</v>
      </c>
      <c r="E155" s="20">
        <v>11680</v>
      </c>
      <c r="F155" s="20">
        <v>0</v>
      </c>
      <c r="G155" s="41">
        <f t="shared" si="4"/>
        <v>0</v>
      </c>
    </row>
    <row r="156" spans="1:7" ht="12.75">
      <c r="A156" s="35" t="s">
        <v>145</v>
      </c>
      <c r="B156" s="15" t="s">
        <v>146</v>
      </c>
      <c r="C156" s="15" t="s">
        <v>54</v>
      </c>
      <c r="D156" s="15" t="s">
        <v>14</v>
      </c>
      <c r="E156" s="16">
        <f>E13+E37+E46+E66+E74+E77+E86+E103+E106+E147+E151+E154</f>
        <v>34453896.06</v>
      </c>
      <c r="F156" s="16">
        <f>F13+F37+F46+F66+F74+F77+F86+F103+F106+F147+F151+F154</f>
        <v>7189889.119999999</v>
      </c>
      <c r="G156" s="41">
        <f t="shared" si="4"/>
        <v>0.20868145383265543</v>
      </c>
    </row>
    <row r="157" spans="1:7" ht="12.75">
      <c r="A157" s="54" t="s">
        <v>157</v>
      </c>
      <c r="B157" s="55"/>
      <c r="C157" s="55"/>
      <c r="D157" s="55"/>
      <c r="E157" s="20">
        <v>1846339.33</v>
      </c>
      <c r="F157" s="55"/>
      <c r="G157" s="55"/>
    </row>
    <row r="159" spans="1:6" ht="12.75">
      <c r="A159" s="53" t="s">
        <v>152</v>
      </c>
      <c r="B159" s="53"/>
      <c r="C159" s="53"/>
      <c r="D159" s="53"/>
      <c r="E159" s="53"/>
      <c r="F159" s="53" t="s">
        <v>153</v>
      </c>
    </row>
  </sheetData>
  <sheetProtection/>
  <mergeCells count="2">
    <mergeCell ref="H10:J10"/>
    <mergeCell ref="A8:H9"/>
  </mergeCells>
  <printOptions/>
  <pageMargins left="0.15748031496062992" right="0.11811023622047245" top="0.1968503937007874" bottom="0.15748031496062992" header="0.2755905511811024" footer="0.1574803149606299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2019-10-18T02:39:33Z</cp:lastPrinted>
  <dcterms:created xsi:type="dcterms:W3CDTF">2012-07-23T09:33:14Z</dcterms:created>
  <dcterms:modified xsi:type="dcterms:W3CDTF">2019-11-01T11:22:37Z</dcterms:modified>
  <cp:category/>
  <cp:version/>
  <cp:contentType/>
  <cp:contentStatus/>
</cp:coreProperties>
</file>