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44" yWindow="65428" windowWidth="11916" windowHeight="9696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<sst xmlns="http://schemas.openxmlformats.org/spreadsheetml/2006/main" count="648" uniqueCount="175">
  <si>
    <t>Другие общегосударственные вопросы</t>
  </si>
  <si>
    <t>Мобилизационная и вневойсковая подготовка</t>
  </si>
  <si>
    <t>540</t>
  </si>
  <si>
    <t>244</t>
  </si>
  <si>
    <t>111</t>
  </si>
  <si>
    <t>851</t>
  </si>
  <si>
    <t>121</t>
  </si>
  <si>
    <t>122</t>
  </si>
  <si>
    <t>112</t>
  </si>
  <si>
    <t>242</t>
  </si>
  <si>
    <t>852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</si>
  <si>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</si>
  <si>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Прочая закупка товаров, работ и услуг для обеспечения
государственных (муниципальных) нужд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</si>
  <si>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</si>
  <si>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</si>
  <si>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</si>
  <si>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Физическая культура</t>
  </si>
  <si>
    <t>% исполнения</t>
  </si>
  <si>
    <t xml:space="preserve">МО ГП "Северомуйское" </t>
  </si>
  <si>
    <t xml:space="preserve">"Об исполнении бюджета МО ГП </t>
  </si>
  <si>
    <t>Приложение № 4</t>
  </si>
  <si>
    <t>Ведущий специалист по финансово-бюджетным вопросам</t>
  </si>
  <si>
    <t>Прочая закупка товаров, работ и услуг для обеспечения государственных (муниципальных) нужд</t>
  </si>
  <si>
    <t>831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</si>
  <si>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 (Начисления на выплаты по оплате труда)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</si>
  <si>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</si>
  <si>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</si>
  <si>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853</t>
  </si>
  <si>
    <t>Профессиональная подготовка, переподготовка и повышение квалификации</t>
  </si>
  <si>
    <t>Прочая закупка товаров, работ и услуг для обеспечения государственных (муниципальных) нужд (Работы, услуги по содержанию имущества)</t>
  </si>
  <si>
    <t>Иные выплаты персоналу учреждений, за исключением фонда оплаты труда (Пособия по социальной помощи населению)</t>
  </si>
  <si>
    <t>Социальное обеспечение населения</t>
  </si>
  <si>
    <t>Массовый спорт</t>
  </si>
  <si>
    <t>Функционирование высших исполнительных органов государственной власти субъектов РФ, местных администраций</t>
  </si>
  <si>
    <t>Взносы по обязательному социальному страхованию на выплаты по оплате труда работников и иные выплаты работникам казенных учреждений (Начисления на выплаты по оплате труда)</t>
  </si>
  <si>
    <t>119</t>
  </si>
  <si>
    <t>Л.С.Чащина</t>
  </si>
  <si>
    <t>Уплата прочих налогов, сборов (Прочие расходы)</t>
  </si>
  <si>
    <t>"Северомуйское" за 2019 год"</t>
  </si>
  <si>
    <t>Ведомственная структура расходов  бюджета муниципального образования городского поселения "Северомуйское за 2019 год.</t>
  </si>
  <si>
    <t>1-Наименование показателя</t>
  </si>
  <si>
    <t>РЗ ПР</t>
  </si>
  <si>
    <t>ЦСР</t>
  </si>
  <si>
    <t>ВР</t>
  </si>
  <si>
    <t>Общегосударственные вопросы</t>
  </si>
  <si>
    <t>01 00</t>
  </si>
  <si>
    <t>0000000000</t>
  </si>
  <si>
    <t>Функционирование высшего должностного лица субъекта РФ и муниципального образования</t>
  </si>
  <si>
    <t>01 02</t>
  </si>
  <si>
    <t>Расходы</t>
  </si>
  <si>
    <t>Фонд оплаты труда государственных (муниципальных) органов (Заработная плата)</t>
  </si>
  <si>
    <t>99 9 01 81010</t>
  </si>
  <si>
    <t>01 03</t>
  </si>
  <si>
    <t>99 9 02 81030</t>
  </si>
  <si>
    <t>Иные выплаты персоналу государственных (муниципальных органов, за исключением фонда оплаты труда (Прочие выплаты)</t>
  </si>
  <si>
    <t>Оплата работ, услуг</t>
  </si>
  <si>
    <t xml:space="preserve">Закупка товаров, работ, услуг в сфере информационно-коммуникационных технологий </t>
  </si>
  <si>
    <t xml:space="preserve">Прочая закупка товаров, работ и услуг для обеспечения государственных (муниципальных) нужд </t>
  </si>
  <si>
    <t>Уплата иных платежей (Прочие расходы)</t>
  </si>
  <si>
    <t>01 04</t>
  </si>
  <si>
    <t>99 9 01 81020</t>
  </si>
  <si>
    <t>Иные выплаты персоналу государственных (муниципальных) органов, за исключением фонда оплаты труда (Прочие выплаты)</t>
  </si>
  <si>
    <t>Вспомогательная деятельность в области государственного управления</t>
  </si>
  <si>
    <t>01 13</t>
  </si>
  <si>
    <t>Исполнение судебных актов РФ и мировых соглашений по возмещению вреда, приченного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(Прочие расходы)</t>
  </si>
  <si>
    <t>99 9 03 82900</t>
  </si>
  <si>
    <t xml:space="preserve">Исполнение судебных актов РФ и мировых соглашений по возмещению вреда, приченного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</t>
  </si>
  <si>
    <t>Исполнение судебных актов РФ и мировых соглашений по возмещению вреда, приченного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(в части выплаты просроченных бюджетных обязательств)</t>
  </si>
  <si>
    <t>99 9 03 82910</t>
  </si>
  <si>
    <t>99 9 03 74160</t>
  </si>
  <si>
    <t>Исполнение судебных актов на оплату кредиторской задолженности по договорам на поставку товаров, выполнение работ и оказание услуг для обеспечения муниципальных нужд</t>
  </si>
  <si>
    <t>99 9 04 82900</t>
  </si>
  <si>
    <t>Фонд оплаты труда казенных учреждений (Заработная плата)</t>
  </si>
  <si>
    <t>99 9 04 S2160</t>
  </si>
  <si>
    <t>99 9 04 S2A30</t>
  </si>
  <si>
    <t>99904 72А30</t>
  </si>
  <si>
    <t>9990472А30</t>
  </si>
  <si>
    <t>99 9 04 72160</t>
  </si>
  <si>
    <t>99 9 04 83590</t>
  </si>
  <si>
    <t>Фонд оплаты труда казенных учреждений (общественные работы)</t>
  </si>
  <si>
    <t>99 9 04 83600</t>
  </si>
  <si>
    <t>99 9 04 74220</t>
  </si>
  <si>
    <t>Иные выплаты персоналу учреждений, за исключением фонда оплаты труда (Прочие выплаты)</t>
  </si>
  <si>
    <t>Взносы по обязательному социальному страхованию на выплаты по оплате труда работников и иные выплаты работникам казенных учреждений (оплата решений налоговых органов)</t>
  </si>
  <si>
    <t>99 9 04 83700</t>
  </si>
  <si>
    <t>Национальная оборона</t>
  </si>
  <si>
    <t>02 03</t>
  </si>
  <si>
    <t>99 9 05 51180</t>
  </si>
  <si>
    <t>121 
(18-365)</t>
  </si>
  <si>
    <t>122 
(18-365)</t>
  </si>
  <si>
    <t>129 
(18-365)</t>
  </si>
  <si>
    <t>244 
(18-365)</t>
  </si>
  <si>
    <t>03 09</t>
  </si>
  <si>
    <t>99 9 06 82300</t>
  </si>
  <si>
    <t>Национальная экономика</t>
  </si>
  <si>
    <t>04 09</t>
  </si>
  <si>
    <t>Дорожное хозяйство (дорожные фонды)</t>
  </si>
  <si>
    <t>99 9 07 82420</t>
  </si>
  <si>
    <t>Прочая закупка товаров, работ и услуг для обеспечения государственных (муниципальных) нужд (Прочие работы, услуги)</t>
  </si>
  <si>
    <t>Другие вопросы в области национальной экономики</t>
  </si>
  <si>
    <t>04 12</t>
  </si>
  <si>
    <t>Внесение изменений в генеральный план землепользования и застройки территорий</t>
  </si>
  <si>
    <t>99 9 08 62030</t>
  </si>
  <si>
    <t>Жилищно-коммунальное хозяйство</t>
  </si>
  <si>
    <t>05 00</t>
  </si>
  <si>
    <t>Жилищное хозяйство</t>
  </si>
  <si>
    <t>05 01</t>
  </si>
  <si>
    <t>Непрограммные расходы</t>
  </si>
  <si>
    <t>Снос аварийного и непригодного для проживания жилищного фонда и рекультивация земель</t>
  </si>
  <si>
    <t>99 9 09 29200</t>
  </si>
  <si>
    <t>Исполнение обязательств по уплате взносов на капитальный ремонт в отношении помещений, которые находятся в муниципальной собственности</t>
  </si>
  <si>
    <t>99 9 09 82420</t>
  </si>
  <si>
    <t>Коммунальное хозяйство</t>
  </si>
  <si>
    <t>05 02</t>
  </si>
  <si>
    <t>Разработка схем водоснабжения, водоотведения и схем теплоснабжения</t>
  </si>
  <si>
    <t>99 9 10 82420</t>
  </si>
  <si>
    <t xml:space="preserve">Субсидии </t>
  </si>
  <si>
    <t>99 9 10 S2А70</t>
  </si>
  <si>
    <t>Благоустройство</t>
  </si>
  <si>
    <t>05 03</t>
  </si>
  <si>
    <t>Программные расходы                                                     Программа №2 Подпрограмма №1</t>
  </si>
  <si>
    <t>02 1 01 82910</t>
  </si>
  <si>
    <t>Прочая закупка товаров, работ и услуг для обеспечения государственных (муниципальных) нужд (Коммунальные услуги)</t>
  </si>
  <si>
    <t>Мероприятие Оплата за электроэнергию уличного освещения</t>
  </si>
  <si>
    <t>07 05</t>
  </si>
  <si>
    <t xml:space="preserve">Непрограммные расходы                                                     </t>
  </si>
  <si>
    <t>99 9 15 72870</t>
  </si>
  <si>
    <t>0,00</t>
  </si>
  <si>
    <t xml:space="preserve">Культура, кинематография                   
Программные расходы </t>
  </si>
  <si>
    <t>08 01</t>
  </si>
  <si>
    <t>Культура                                                                Программные расходы                                                                                      Программа №1 Подпрограмма №1</t>
  </si>
  <si>
    <t>01 1 01 72160</t>
  </si>
  <si>
    <t>01 1 01 72340</t>
  </si>
  <si>
    <t>01 1 01 83110</t>
  </si>
  <si>
    <t>99 9 01 82980</t>
  </si>
  <si>
    <t>Расходы на укрепление материальной базы</t>
  </si>
  <si>
    <t>0801</t>
  </si>
  <si>
    <t>01 1 01 S2950</t>
  </si>
  <si>
    <t>01 1 01 S2160</t>
  </si>
  <si>
    <t>01 1 01 S2340</t>
  </si>
  <si>
    <t>Закупка товаров, работ, услуг в сфере информационно-коммуникационных технологий (Услуги связи)</t>
  </si>
  <si>
    <t>Уплата налога на имущество организаций и земельного налога (Прочие расходы)</t>
  </si>
  <si>
    <t>99 9 01 83110</t>
  </si>
  <si>
    <t>Культура (библиотека)                                                            Программные расходы                                                                                       Программа №1 Подпрограмма №2</t>
  </si>
  <si>
    <t>01 2 02 72160</t>
  </si>
  <si>
    <t>01 2 02 72340</t>
  </si>
  <si>
    <t>01 2 02 83120</t>
  </si>
  <si>
    <t>01 2 02 S2160</t>
  </si>
  <si>
    <t>01 2 02 S2340</t>
  </si>
  <si>
    <t>Поступление нефинансовых активов</t>
  </si>
  <si>
    <t>Прочая закупка товаров, работ и услуг для обеспечения государственных (муниципальных) нужд (Увеличение стоимости основных средств)</t>
  </si>
  <si>
    <t>01 2 02 R5190</t>
  </si>
  <si>
    <t>01 2 02 L5190</t>
  </si>
  <si>
    <t>01 2 02 80300</t>
  </si>
  <si>
    <t>01 2 02 72950</t>
  </si>
  <si>
    <t>Социальная политика</t>
  </si>
  <si>
    <t>10 03</t>
  </si>
  <si>
    <t>99 9 12 73180</t>
  </si>
  <si>
    <t>11 00</t>
  </si>
  <si>
    <t>99 9 00 00000</t>
  </si>
  <si>
    <t>11 01</t>
  </si>
  <si>
    <t>99 9 13 82600</t>
  </si>
  <si>
    <t>11 02</t>
  </si>
  <si>
    <t>99 9 15 74150</t>
  </si>
  <si>
    <t>Межбюджетные трасферты общего характера бюджетам бюджетной системы РФ</t>
  </si>
  <si>
    <t>14 03</t>
  </si>
  <si>
    <t>Прочие межбюджетные трасферты общего характера</t>
  </si>
  <si>
    <t>99 9 14 63010</t>
  </si>
  <si>
    <t>Иные межбюджетные трансферты (Перечисления другим бюджетам бюджетной системы РФ)</t>
  </si>
  <si>
    <t>96 00</t>
  </si>
  <si>
    <t>Утвержденные бюджетные назначения на 2019 г</t>
  </si>
  <si>
    <t>Исполнено за 2019 г</t>
  </si>
  <si>
    <t>Всего расходов</t>
  </si>
  <si>
    <t>К проекту решения  Совета депутатов</t>
  </si>
  <si>
    <t>от 25.05.2020 г. № 136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</si>
</sst>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[$-F400]h:mm:ss\ AM/PM"/>
    <numFmt numFmtId="167" formatCode="[$-FC19]d\ mmmm\ yyyy\ &quot;г.&quot;"/>
    <numFmt numFmtId="168" formatCode="0.000"/>
    <numFmt numFmtId="169" formatCode="0.0"/>
    <numFmt numFmtId="170" formatCode="0.0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2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right"/>
    </xf>
    <xf numFmtId="0" fontId="1" fillId="24" borderId="0" xfId="0" applyFont="1" applyFill="1" applyAlignment="1">
      <alignment horizontal="center"/>
    </xf>
    <xf numFmtId="4" fontId="7" fillId="24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49" fontId="6" fillId="24" borderId="10" xfId="0" applyNumberFormat="1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center"/>
    </xf>
    <xf numFmtId="4" fontId="6" fillId="24" borderId="10" xfId="0" applyNumberFormat="1" applyFont="1" applyFill="1" applyBorder="1" applyAlignment="1">
      <alignment horizontal="right" vertical="center" wrapText="1"/>
    </xf>
    <xf numFmtId="4" fontId="6" fillId="24" borderId="10" xfId="0" applyNumberFormat="1" applyFont="1" applyFill="1" applyBorder="1" applyAlignment="1">
      <alignment/>
    </xf>
    <xf numFmtId="49" fontId="8" fillId="24" borderId="10" xfId="0" applyNumberFormat="1" applyFont="1" applyFill="1" applyBorder="1" applyAlignment="1">
      <alignment horizontal="left" vertical="center" wrapText="1"/>
    </xf>
    <xf numFmtId="49" fontId="8" fillId="24" borderId="10" xfId="0" applyNumberFormat="1" applyFont="1" applyFill="1" applyBorder="1" applyAlignment="1">
      <alignment horizontal="center"/>
    </xf>
    <xf numFmtId="4" fontId="8" fillId="24" borderId="10" xfId="0" applyNumberFormat="1" applyFont="1" applyFill="1" applyBorder="1" applyAlignment="1">
      <alignment/>
    </xf>
    <xf numFmtId="49" fontId="7" fillId="24" borderId="10" xfId="0" applyNumberFormat="1" applyFont="1" applyFill="1" applyBorder="1" applyAlignment="1">
      <alignment horizontal="left" vertical="center" wrapText="1"/>
    </xf>
    <xf numFmtId="49" fontId="7" fillId="24" borderId="10" xfId="0" applyNumberFormat="1" applyFont="1" applyFill="1" applyBorder="1" applyAlignment="1">
      <alignment horizontal="center"/>
    </xf>
    <xf numFmtId="4" fontId="7" fillId="24" borderId="10" xfId="0" applyNumberFormat="1" applyFont="1" applyFill="1" applyBorder="1" applyAlignment="1">
      <alignment/>
    </xf>
    <xf numFmtId="49" fontId="7" fillId="24" borderId="11" xfId="0" applyNumberFormat="1" applyFont="1" applyFill="1" applyBorder="1" applyAlignment="1">
      <alignment vertical="center" wrapText="1"/>
    </xf>
    <xf numFmtId="49" fontId="7" fillId="24" borderId="12" xfId="0" applyNumberFormat="1" applyFont="1" applyFill="1" applyBorder="1" applyAlignment="1">
      <alignment vertical="center" wrapText="1"/>
    </xf>
    <xf numFmtId="49" fontId="6" fillId="24" borderId="10" xfId="0" applyNumberFormat="1" applyFont="1" applyFill="1" applyBorder="1" applyAlignment="1">
      <alignment vertical="center" wrapText="1"/>
    </xf>
    <xf numFmtId="176" fontId="7" fillId="24" borderId="10" xfId="0" applyNumberFormat="1" applyFont="1" applyFill="1" applyBorder="1" applyAlignment="1">
      <alignment vertical="center" wrapText="1"/>
    </xf>
    <xf numFmtId="49" fontId="8" fillId="24" borderId="10" xfId="0" applyNumberFormat="1" applyFont="1" applyFill="1" applyBorder="1" applyAlignment="1">
      <alignment vertical="center" wrapText="1"/>
    </xf>
    <xf numFmtId="49" fontId="7" fillId="24" borderId="10" xfId="0" applyNumberFormat="1" applyFont="1" applyFill="1" applyBorder="1" applyAlignment="1">
      <alignment vertical="center" wrapText="1"/>
    </xf>
    <xf numFmtId="2" fontId="7" fillId="24" borderId="0" xfId="0" applyNumberFormat="1" applyFont="1" applyFill="1" applyAlignment="1">
      <alignment/>
    </xf>
    <xf numFmtId="49" fontId="7" fillId="24" borderId="12" xfId="0" applyNumberFormat="1" applyFont="1" applyFill="1" applyBorder="1" applyAlignment="1">
      <alignment horizontal="center"/>
    </xf>
    <xf numFmtId="4" fontId="7" fillId="24" borderId="12" xfId="0" applyNumberFormat="1" applyFont="1" applyFill="1" applyBorder="1" applyAlignment="1">
      <alignment/>
    </xf>
    <xf numFmtId="49" fontId="7" fillId="24" borderId="10" xfId="0" applyNumberFormat="1" applyFont="1" applyFill="1" applyBorder="1" applyAlignment="1">
      <alignment horizont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horizontal="center" vertical="center" wrapText="1"/>
    </xf>
    <xf numFmtId="0" fontId="9" fillId="24" borderId="0" xfId="0" applyFont="1" applyFill="1" applyAlignment="1">
      <alignment/>
    </xf>
    <xf numFmtId="49" fontId="6" fillId="24" borderId="10" xfId="0" applyNumberFormat="1" applyFont="1" applyFill="1" applyBorder="1" applyAlignment="1">
      <alignment horizontal="center" wrapText="1"/>
    </xf>
    <xf numFmtId="2" fontId="6" fillId="24" borderId="10" xfId="0" applyNumberFormat="1" applyFont="1" applyFill="1" applyBorder="1" applyAlignment="1">
      <alignment horizontal="right" wrapText="1"/>
    </xf>
    <xf numFmtId="49" fontId="8" fillId="24" borderId="10" xfId="0" applyNumberFormat="1" applyFont="1" applyFill="1" applyBorder="1" applyAlignment="1">
      <alignment horizontal="center" wrapText="1"/>
    </xf>
    <xf numFmtId="2" fontId="8" fillId="24" borderId="10" xfId="0" applyNumberFormat="1" applyFont="1" applyFill="1" applyBorder="1" applyAlignment="1">
      <alignment horizontal="right" wrapText="1"/>
    </xf>
    <xf numFmtId="49" fontId="7" fillId="24" borderId="13" xfId="0" applyNumberFormat="1" applyFont="1" applyFill="1" applyBorder="1" applyAlignment="1">
      <alignment vertical="center" wrapText="1"/>
    </xf>
    <xf numFmtId="49" fontId="7" fillId="24" borderId="13" xfId="0" applyNumberFormat="1" applyFont="1" applyFill="1" applyBorder="1" applyAlignment="1">
      <alignment horizontal="center" wrapText="1"/>
    </xf>
    <xf numFmtId="2" fontId="7" fillId="24" borderId="13" xfId="0" applyNumberFormat="1" applyFont="1" applyFill="1" applyBorder="1" applyAlignment="1">
      <alignment horizontal="right" wrapText="1"/>
    </xf>
    <xf numFmtId="49" fontId="7" fillId="24" borderId="0" xfId="0" applyNumberFormat="1" applyFont="1" applyFill="1" applyBorder="1" applyAlignment="1">
      <alignment vertical="center" wrapText="1"/>
    </xf>
    <xf numFmtId="49" fontId="6" fillId="24" borderId="14" xfId="0" applyNumberFormat="1" applyFont="1" applyFill="1" applyBorder="1" applyAlignment="1">
      <alignment horizontal="left" vertical="center" wrapText="1"/>
    </xf>
    <xf numFmtId="49" fontId="6" fillId="24" borderId="14" xfId="0" applyNumberFormat="1" applyFont="1" applyFill="1" applyBorder="1" applyAlignment="1">
      <alignment horizontal="center"/>
    </xf>
    <xf numFmtId="4" fontId="6" fillId="24" borderId="14" xfId="0" applyNumberFormat="1" applyFont="1" applyFill="1" applyBorder="1" applyAlignment="1">
      <alignment/>
    </xf>
    <xf numFmtId="2" fontId="8" fillId="24" borderId="0" xfId="0" applyNumberFormat="1" applyFont="1" applyFill="1" applyAlignment="1">
      <alignment/>
    </xf>
    <xf numFmtId="0" fontId="8" fillId="24" borderId="0" xfId="0" applyFont="1" applyFill="1" applyAlignment="1">
      <alignment/>
    </xf>
    <xf numFmtId="49" fontId="8" fillId="24" borderId="10" xfId="0" applyNumberFormat="1" applyFont="1" applyFill="1" applyBorder="1" applyAlignment="1">
      <alignment wrapText="1"/>
    </xf>
    <xf numFmtId="4" fontId="8" fillId="24" borderId="10" xfId="0" applyNumberFormat="1" applyFont="1" applyFill="1" applyBorder="1" applyAlignment="1">
      <alignment/>
    </xf>
    <xf numFmtId="4" fontId="7" fillId="24" borderId="10" xfId="0" applyNumberFormat="1" applyFont="1" applyFill="1" applyBorder="1" applyAlignment="1">
      <alignment/>
    </xf>
    <xf numFmtId="2" fontId="6" fillId="24" borderId="0" xfId="0" applyNumberFormat="1" applyFont="1" applyFill="1" applyAlignment="1">
      <alignment/>
    </xf>
    <xf numFmtId="0" fontId="6" fillId="24" borderId="0" xfId="0" applyFont="1" applyFill="1" applyAlignment="1">
      <alignment/>
    </xf>
    <xf numFmtId="4" fontId="7" fillId="24" borderId="10" xfId="0" applyNumberFormat="1" applyFont="1" applyFill="1" applyBorder="1" applyAlignment="1">
      <alignment horizontal="right"/>
    </xf>
    <xf numFmtId="0" fontId="6" fillId="24" borderId="10" xfId="52" applyFont="1" applyFill="1" applyBorder="1" applyAlignment="1">
      <alignment horizontal="left" vertical="center" wrapText="1"/>
      <protection/>
    </xf>
    <xf numFmtId="0" fontId="7" fillId="24" borderId="10" xfId="52" applyFont="1" applyFill="1" applyBorder="1" applyAlignment="1">
      <alignment horizontal="left" vertical="center" wrapText="1"/>
      <protection/>
    </xf>
    <xf numFmtId="0" fontId="4" fillId="24" borderId="0" xfId="0" applyFont="1" applyFill="1" applyAlignment="1">
      <alignment horizontal="left"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 horizontal="left" vertical="top"/>
    </xf>
    <xf numFmtId="0" fontId="3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ункциональн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tabSelected="1" zoomScale="90" zoomScaleNormal="90" zoomScalePageLayoutView="0" workbookViewId="0" topLeftCell="A1">
      <selection activeCell="I13" sqref="I13"/>
    </sheetView>
  </sheetViews>
  <sheetFormatPr defaultColWidth="9.125" defaultRowHeight="12.75"/>
  <cols>
    <col min="1" max="1" width="47.125" style="1" customWidth="1"/>
    <col min="2" max="2" width="8.75390625" style="1" customWidth="1"/>
    <col min="3" max="3" width="12.50390625" style="1" customWidth="1"/>
    <col min="4" max="4" width="7.25390625" style="1" customWidth="1"/>
    <col min="5" max="7" width="9.625" style="1" customWidth="1"/>
    <col min="8" max="8" width="12.00390625" style="1" customWidth="1"/>
    <col min="9" max="9" width="9.875" style="2" customWidth="1"/>
    <col min="10" max="10" width="6.50390625" style="1" customWidth="1"/>
    <col min="11" max="16384" width="9.125" style="1" customWidth="1"/>
  </cols>
  <sheetData>
    <row r="1" spans="7:9" ht="12.75">
      <c r="G1" s="54" t="s">
        <v>20</v>
      </c>
      <c r="H1" s="54"/>
      <c r="I1" s="54"/>
    </row>
    <row r="2" spans="7:10" ht="12.75">
      <c r="G2" s="55" t="s">
        <v>173</v>
      </c>
      <c r="H2" s="55"/>
      <c r="I2" s="55"/>
      <c r="J2" s="55"/>
    </row>
    <row r="3" spans="7:10" ht="12.75">
      <c r="G3" s="56" t="s">
        <v>18</v>
      </c>
      <c r="H3" s="56"/>
      <c r="I3" s="56"/>
      <c r="J3" s="56"/>
    </row>
    <row r="4" spans="7:10" ht="12.75">
      <c r="G4" s="55" t="s">
        <v>19</v>
      </c>
      <c r="H4" s="55"/>
      <c r="I4" s="55"/>
      <c r="J4" s="55"/>
    </row>
    <row r="5" spans="7:10" ht="12.75">
      <c r="G5" s="55" t="s">
        <v>38</v>
      </c>
      <c r="H5" s="55"/>
      <c r="I5" s="55"/>
      <c r="J5" s="55"/>
    </row>
    <row r="6" spans="7:10" ht="14.25" customHeight="1">
      <c r="G6" s="58" t="s">
        <v>174</v>
      </c>
      <c r="H6" s="58"/>
      <c r="I6" s="58"/>
      <c r="J6" s="58"/>
    </row>
    <row r="7" spans="2:7" ht="10.5" customHeight="1">
      <c r="B7" s="3"/>
      <c r="C7" s="4"/>
      <c r="G7" s="5"/>
    </row>
    <row r="8" spans="1:8" ht="12.75" customHeight="1">
      <c r="A8" s="57" t="s">
        <v>39</v>
      </c>
      <c r="B8" s="57"/>
      <c r="C8" s="57"/>
      <c r="D8" s="57"/>
      <c r="E8" s="57"/>
      <c r="F8" s="57"/>
      <c r="G8" s="57"/>
      <c r="H8" s="57"/>
    </row>
    <row r="9" spans="1:8" ht="21.75" customHeight="1">
      <c r="A9" s="57"/>
      <c r="B9" s="57"/>
      <c r="C9" s="57"/>
      <c r="D9" s="57"/>
      <c r="E9" s="57"/>
      <c r="F9" s="57"/>
      <c r="G9" s="57"/>
      <c r="H9" s="57"/>
    </row>
    <row r="10" spans="1:7" s="7" customFormat="1" ht="51">
      <c r="A10" s="8" t="s">
        <v>40</v>
      </c>
      <c r="B10" s="8" t="s">
        <v>41</v>
      </c>
      <c r="C10" s="8" t="s">
        <v>42</v>
      </c>
      <c r="D10" s="8" t="s">
        <v>43</v>
      </c>
      <c r="E10" s="9" t="s">
        <v>170</v>
      </c>
      <c r="F10" s="9" t="s">
        <v>171</v>
      </c>
      <c r="G10" s="9" t="s">
        <v>17</v>
      </c>
    </row>
    <row r="11" spans="1:8" s="7" customFormat="1" ht="9.75" customHeight="1">
      <c r="A11" s="10" t="s">
        <v>44</v>
      </c>
      <c r="B11" s="8" t="s">
        <v>45</v>
      </c>
      <c r="C11" s="11" t="s">
        <v>46</v>
      </c>
      <c r="D11" s="8" t="s">
        <v>13</v>
      </c>
      <c r="E11" s="12">
        <f>E12+E17+E27</f>
        <v>2627200</v>
      </c>
      <c r="F11" s="12">
        <f>F12+F17+F27</f>
        <v>2599412.41</v>
      </c>
      <c r="G11" s="12">
        <f>F11/E11*100</f>
        <v>98.9423115864799</v>
      </c>
      <c r="H11" s="6"/>
    </row>
    <row r="12" spans="1:7" s="7" customFormat="1" ht="9.75" customHeight="1">
      <c r="A12" s="10" t="s">
        <v>47</v>
      </c>
      <c r="B12" s="11" t="s">
        <v>48</v>
      </c>
      <c r="C12" s="11" t="s">
        <v>46</v>
      </c>
      <c r="D12" s="11" t="s">
        <v>13</v>
      </c>
      <c r="E12" s="13">
        <f>E13</f>
        <v>1194201.02</v>
      </c>
      <c r="F12" s="13">
        <f>F13</f>
        <v>1170051.43</v>
      </c>
      <c r="G12" s="12">
        <f aca="true" t="shared" si="0" ref="G12:G75">F12/E12*100</f>
        <v>97.97776173394995</v>
      </c>
    </row>
    <row r="13" spans="1:7" s="7" customFormat="1" ht="9.75" customHeight="1">
      <c r="A13" s="14" t="s">
        <v>49</v>
      </c>
      <c r="B13" s="15" t="s">
        <v>48</v>
      </c>
      <c r="C13" s="15" t="s">
        <v>46</v>
      </c>
      <c r="D13" s="15" t="s">
        <v>13</v>
      </c>
      <c r="E13" s="16">
        <f>E14+E15</f>
        <v>1194201.02</v>
      </c>
      <c r="F13" s="16">
        <f>F14+F15</f>
        <v>1170051.43</v>
      </c>
      <c r="G13" s="12">
        <f t="shared" si="0"/>
        <v>97.97776173394995</v>
      </c>
    </row>
    <row r="14" spans="1:7" s="7" customFormat="1" ht="9.75" customHeight="1">
      <c r="A14" s="17" t="s">
        <v>50</v>
      </c>
      <c r="B14" s="18" t="s">
        <v>48</v>
      </c>
      <c r="C14" s="18" t="s">
        <v>51</v>
      </c>
      <c r="D14" s="18" t="s">
        <v>6</v>
      </c>
      <c r="E14" s="19">
        <f>859000+35000-16633.49-702.32+19021.43+24149.59</f>
        <v>919835.2100000001</v>
      </c>
      <c r="F14" s="19">
        <f>793974.32+101711.3</f>
        <v>895685.62</v>
      </c>
      <c r="G14" s="12">
        <f t="shared" si="0"/>
        <v>97.37457430010751</v>
      </c>
    </row>
    <row r="15" spans="1:7" s="7" customFormat="1" ht="9.75" customHeight="1">
      <c r="A15" s="17" t="s">
        <v>24</v>
      </c>
      <c r="B15" s="18" t="s">
        <v>48</v>
      </c>
      <c r="C15" s="18" t="s">
        <v>51</v>
      </c>
      <c r="D15" s="18" t="s">
        <v>25</v>
      </c>
      <c r="E15" s="19">
        <f>257030+16633.49+702.32</f>
        <v>274365.81</v>
      </c>
      <c r="F15" s="19">
        <f>36881.39+64137.77+173346.65</f>
        <v>274365.81</v>
      </c>
      <c r="G15" s="12">
        <f t="shared" si="0"/>
        <v>100</v>
      </c>
    </row>
    <row r="16" spans="1:7" s="7" customFormat="1" ht="0.75" customHeight="1">
      <c r="A16" s="20"/>
      <c r="B16" s="21"/>
      <c r="C16" s="21"/>
      <c r="D16" s="21"/>
      <c r="E16" s="21"/>
      <c r="F16" s="21"/>
      <c r="G16" s="12" t="e">
        <f t="shared" si="0"/>
        <v>#DIV/0!</v>
      </c>
    </row>
    <row r="17" spans="1:7" s="7" customFormat="1" ht="9.75" customHeight="1">
      <c r="A17" s="10" t="s">
        <v>11</v>
      </c>
      <c r="B17" s="11" t="s">
        <v>52</v>
      </c>
      <c r="C17" s="11" t="s">
        <v>46</v>
      </c>
      <c r="D17" s="11" t="s">
        <v>13</v>
      </c>
      <c r="E17" s="13">
        <f>E18+E22</f>
        <v>872699.53</v>
      </c>
      <c r="F17" s="13">
        <f>F18+F22</f>
        <v>872699.53</v>
      </c>
      <c r="G17" s="12">
        <f t="shared" si="0"/>
        <v>100</v>
      </c>
    </row>
    <row r="18" spans="1:7" s="7" customFormat="1" ht="9.75" customHeight="1">
      <c r="A18" s="14" t="s">
        <v>49</v>
      </c>
      <c r="B18" s="15" t="s">
        <v>52</v>
      </c>
      <c r="C18" s="15" t="s">
        <v>46</v>
      </c>
      <c r="D18" s="15" t="s">
        <v>13</v>
      </c>
      <c r="E18" s="16">
        <f>E19+E20+E21</f>
        <v>864412.8200000001</v>
      </c>
      <c r="F18" s="16">
        <f>F19+F20+F21</f>
        <v>864412.8200000001</v>
      </c>
      <c r="G18" s="12">
        <f t="shared" si="0"/>
        <v>100</v>
      </c>
    </row>
    <row r="19" spans="1:7" s="7" customFormat="1" ht="9.75" customHeight="1">
      <c r="A19" s="17" t="s">
        <v>50</v>
      </c>
      <c r="B19" s="18" t="s">
        <v>52</v>
      </c>
      <c r="C19" s="18" t="s">
        <v>53</v>
      </c>
      <c r="D19" s="18" t="s">
        <v>6</v>
      </c>
      <c r="E19" s="19">
        <f>688000+39087.26</f>
        <v>727087.26</v>
      </c>
      <c r="F19" s="19">
        <f>676681.7+50405.56</f>
        <v>727087.26</v>
      </c>
      <c r="G19" s="12">
        <f t="shared" si="0"/>
        <v>100</v>
      </c>
    </row>
    <row r="20" spans="1:7" s="7" customFormat="1" ht="9.75" customHeight="1">
      <c r="A20" s="17" t="s">
        <v>54</v>
      </c>
      <c r="B20" s="18" t="s">
        <v>52</v>
      </c>
      <c r="C20" s="18" t="s">
        <v>53</v>
      </c>
      <c r="D20" s="18" t="s">
        <v>7</v>
      </c>
      <c r="E20" s="19">
        <v>26829</v>
      </c>
      <c r="F20" s="19">
        <f>5060+20000+1769</f>
        <v>26829</v>
      </c>
      <c r="G20" s="12">
        <f t="shared" si="0"/>
        <v>100</v>
      </c>
    </row>
    <row r="21" spans="1:7" s="7" customFormat="1" ht="9.75" customHeight="1">
      <c r="A21" s="17" t="s">
        <v>26</v>
      </c>
      <c r="B21" s="18" t="s">
        <v>52</v>
      </c>
      <c r="C21" s="18" t="s">
        <v>53</v>
      </c>
      <c r="D21" s="18" t="s">
        <v>25</v>
      </c>
      <c r="E21" s="19">
        <f>207780-63225.37-16159.08-17898.99</f>
        <v>110496.56</v>
      </c>
      <c r="F21" s="19">
        <f>110194.38+302.18</f>
        <v>110496.56</v>
      </c>
      <c r="G21" s="12">
        <f t="shared" si="0"/>
        <v>100</v>
      </c>
    </row>
    <row r="22" spans="1:7" s="7" customFormat="1" ht="9.75" customHeight="1">
      <c r="A22" s="14" t="s">
        <v>55</v>
      </c>
      <c r="B22" s="15" t="s">
        <v>52</v>
      </c>
      <c r="C22" s="15" t="s">
        <v>53</v>
      </c>
      <c r="D22" s="15" t="s">
        <v>13</v>
      </c>
      <c r="E22" s="16">
        <f>E23+E24+E25</f>
        <v>8286.71</v>
      </c>
      <c r="F22" s="16">
        <f>F23+F24+F25</f>
        <v>8286.71</v>
      </c>
      <c r="G22" s="12">
        <f t="shared" si="0"/>
        <v>100</v>
      </c>
    </row>
    <row r="23" spans="1:7" s="7" customFormat="1" ht="9.75" customHeight="1">
      <c r="A23" s="17" t="s">
        <v>56</v>
      </c>
      <c r="B23" s="18" t="s">
        <v>52</v>
      </c>
      <c r="C23" s="18" t="s">
        <v>53</v>
      </c>
      <c r="D23" s="18" t="s">
        <v>9</v>
      </c>
      <c r="E23" s="19">
        <f>7000+1500-836.71-1122.44-3137.26-3.59</f>
        <v>3400</v>
      </c>
      <c r="F23" s="19">
        <v>3400</v>
      </c>
      <c r="G23" s="12">
        <f t="shared" si="0"/>
        <v>100</v>
      </c>
    </row>
    <row r="24" spans="1:7" s="7" customFormat="1" ht="9.75" customHeight="1">
      <c r="A24" s="17" t="s">
        <v>57</v>
      </c>
      <c r="B24" s="18" t="s">
        <v>52</v>
      </c>
      <c r="C24" s="18" t="s">
        <v>53</v>
      </c>
      <c r="D24" s="18" t="s">
        <v>3</v>
      </c>
      <c r="E24" s="19">
        <f>40000-35950</f>
        <v>4050</v>
      </c>
      <c r="F24" s="19">
        <v>4050</v>
      </c>
      <c r="G24" s="12">
        <f t="shared" si="0"/>
        <v>100</v>
      </c>
    </row>
    <row r="25" spans="1:7" s="7" customFormat="1" ht="9.75" customHeight="1">
      <c r="A25" s="17" t="s">
        <v>58</v>
      </c>
      <c r="B25" s="18" t="s">
        <v>52</v>
      </c>
      <c r="C25" s="18" t="s">
        <v>53</v>
      </c>
      <c r="D25" s="18" t="s">
        <v>27</v>
      </c>
      <c r="E25" s="19">
        <f>836.71</f>
        <v>836.71</v>
      </c>
      <c r="F25" s="19">
        <f>836.71</f>
        <v>836.71</v>
      </c>
      <c r="G25" s="12">
        <f t="shared" si="0"/>
        <v>100</v>
      </c>
    </row>
    <row r="26" spans="1:7" s="7" customFormat="1" ht="2.25" customHeight="1">
      <c r="A26" s="20"/>
      <c r="B26" s="21"/>
      <c r="C26" s="21"/>
      <c r="D26" s="21"/>
      <c r="E26" s="21"/>
      <c r="F26" s="21"/>
      <c r="G26" s="12" t="e">
        <f t="shared" si="0"/>
        <v>#DIV/0!</v>
      </c>
    </row>
    <row r="27" spans="1:7" s="7" customFormat="1" ht="9.75" customHeight="1">
      <c r="A27" s="10" t="s">
        <v>33</v>
      </c>
      <c r="B27" s="11" t="s">
        <v>59</v>
      </c>
      <c r="C27" s="11" t="s">
        <v>46</v>
      </c>
      <c r="D27" s="11" t="s">
        <v>13</v>
      </c>
      <c r="E27" s="13">
        <f>E28+E32</f>
        <v>560299.45</v>
      </c>
      <c r="F27" s="13">
        <f>F28+F32</f>
        <v>556661.45</v>
      </c>
      <c r="G27" s="12">
        <f t="shared" si="0"/>
        <v>99.35070434211563</v>
      </c>
    </row>
    <row r="28" spans="1:7" s="7" customFormat="1" ht="9.75" customHeight="1">
      <c r="A28" s="14" t="s">
        <v>49</v>
      </c>
      <c r="B28" s="15" t="s">
        <v>59</v>
      </c>
      <c r="C28" s="15" t="s">
        <v>46</v>
      </c>
      <c r="D28" s="15" t="s">
        <v>13</v>
      </c>
      <c r="E28" s="16">
        <f>E29+E30+E31</f>
        <v>510797.98</v>
      </c>
      <c r="F28" s="16">
        <f>F29+F30+F31</f>
        <v>510797.98</v>
      </c>
      <c r="G28" s="12">
        <f t="shared" si="0"/>
        <v>100</v>
      </c>
    </row>
    <row r="29" spans="1:7" s="7" customFormat="1" ht="9.75" customHeight="1">
      <c r="A29" s="17" t="s">
        <v>50</v>
      </c>
      <c r="B29" s="18" t="s">
        <v>59</v>
      </c>
      <c r="C29" s="18" t="s">
        <v>60</v>
      </c>
      <c r="D29" s="18" t="s">
        <v>6</v>
      </c>
      <c r="E29" s="19">
        <f>360000+15000-34498.13-500.9-1394.99-21271.89-21723.35+63225.37+16159.08</f>
        <v>374995.19</v>
      </c>
      <c r="F29" s="19">
        <f>358836.11+16159.08</f>
        <v>374995.19</v>
      </c>
      <c r="G29" s="12">
        <f t="shared" si="0"/>
        <v>100</v>
      </c>
    </row>
    <row r="30" spans="1:7" s="7" customFormat="1" ht="9.75" customHeight="1">
      <c r="A30" s="17" t="s">
        <v>61</v>
      </c>
      <c r="B30" s="18" t="s">
        <v>59</v>
      </c>
      <c r="C30" s="18" t="s">
        <v>60</v>
      </c>
      <c r="D30" s="18" t="s">
        <v>7</v>
      </c>
      <c r="E30" s="19">
        <f>6090</f>
        <v>6090</v>
      </c>
      <c r="F30" s="19">
        <f>6090</f>
        <v>6090</v>
      </c>
      <c r="G30" s="12">
        <f t="shared" si="0"/>
        <v>100</v>
      </c>
    </row>
    <row r="31" spans="1:7" s="7" customFormat="1" ht="9.75" customHeight="1">
      <c r="A31" s="17" t="s">
        <v>24</v>
      </c>
      <c r="B31" s="18" t="s">
        <v>59</v>
      </c>
      <c r="C31" s="18" t="s">
        <v>60</v>
      </c>
      <c r="D31" s="18" t="s">
        <v>25</v>
      </c>
      <c r="E31" s="19">
        <f>93250-6090-30019.61+27754+21723.35+428.17+1394.99+21271.89</f>
        <v>129712.79</v>
      </c>
      <c r="F31" s="19">
        <f>62554.04+22340.35+44818.4</f>
        <v>129712.79000000001</v>
      </c>
      <c r="G31" s="12">
        <f t="shared" si="0"/>
        <v>100.00000000000003</v>
      </c>
    </row>
    <row r="32" spans="1:7" s="7" customFormat="1" ht="9.75" customHeight="1">
      <c r="A32" s="14" t="s">
        <v>55</v>
      </c>
      <c r="B32" s="15" t="s">
        <v>59</v>
      </c>
      <c r="C32" s="15" t="s">
        <v>60</v>
      </c>
      <c r="D32" s="15" t="s">
        <v>13</v>
      </c>
      <c r="E32" s="16">
        <f>E33+E34+E35</f>
        <v>49501.47</v>
      </c>
      <c r="F32" s="16">
        <f>F33+F34+F35</f>
        <v>45863.47000000001</v>
      </c>
      <c r="G32" s="12">
        <f t="shared" si="0"/>
        <v>92.65072330175246</v>
      </c>
    </row>
    <row r="33" spans="1:7" s="7" customFormat="1" ht="9.75" customHeight="1">
      <c r="A33" s="17" t="s">
        <v>22</v>
      </c>
      <c r="B33" s="18" t="s">
        <v>59</v>
      </c>
      <c r="C33" s="18" t="s">
        <v>60</v>
      </c>
      <c r="D33" s="18" t="s">
        <v>3</v>
      </c>
      <c r="E33" s="19">
        <v>0</v>
      </c>
      <c r="F33" s="19">
        <v>0</v>
      </c>
      <c r="G33" s="12">
        <v>0</v>
      </c>
    </row>
    <row r="34" spans="1:7" s="7" customFormat="1" ht="9.75" customHeight="1">
      <c r="A34" s="17" t="s">
        <v>37</v>
      </c>
      <c r="B34" s="18" t="s">
        <v>59</v>
      </c>
      <c r="C34" s="18" t="s">
        <v>60</v>
      </c>
      <c r="D34" s="18" t="s">
        <v>10</v>
      </c>
      <c r="E34" s="19">
        <v>10540</v>
      </c>
      <c r="F34" s="19">
        <f>6902</f>
        <v>6902</v>
      </c>
      <c r="G34" s="12">
        <f t="shared" si="0"/>
        <v>65.48387096774194</v>
      </c>
    </row>
    <row r="35" spans="1:7" s="7" customFormat="1" ht="9.75" customHeight="1">
      <c r="A35" s="17" t="s">
        <v>58</v>
      </c>
      <c r="B35" s="18" t="s">
        <v>59</v>
      </c>
      <c r="C35" s="18" t="s">
        <v>60</v>
      </c>
      <c r="D35" s="18" t="s">
        <v>27</v>
      </c>
      <c r="E35" s="19">
        <f>1500+30019.61+6744.13+72.73+625</f>
        <v>38961.47</v>
      </c>
      <c r="F35" s="19">
        <f>31519.61+2492.86+1303.08+2948.19+72.73+625</f>
        <v>38961.47000000001</v>
      </c>
      <c r="G35" s="12">
        <f t="shared" si="0"/>
        <v>100.00000000000003</v>
      </c>
    </row>
    <row r="36" spans="1:7" s="7" customFormat="1" ht="3" customHeight="1">
      <c r="A36" s="20"/>
      <c r="B36" s="21"/>
      <c r="C36" s="21"/>
      <c r="D36" s="21"/>
      <c r="E36" s="21"/>
      <c r="F36" s="21"/>
      <c r="G36" s="12" t="e">
        <f t="shared" si="0"/>
        <v>#DIV/0!</v>
      </c>
    </row>
    <row r="37" spans="1:7" s="7" customFormat="1" ht="9.75" customHeight="1">
      <c r="A37" s="22" t="s">
        <v>62</v>
      </c>
      <c r="B37" s="11" t="s">
        <v>63</v>
      </c>
      <c r="C37" s="11" t="s">
        <v>46</v>
      </c>
      <c r="D37" s="11" t="s">
        <v>13</v>
      </c>
      <c r="E37" s="13">
        <f>E38+E39+E40+E44+E43+E45+E46+E47+E42+E41</f>
        <v>25677008.590000004</v>
      </c>
      <c r="F37" s="13">
        <f>F38+F39+F40+F44+F43+F45+F46+F47+F42+F41</f>
        <v>20765873.400000002</v>
      </c>
      <c r="G37" s="12">
        <f t="shared" si="0"/>
        <v>80.87341376708244</v>
      </c>
    </row>
    <row r="38" spans="1:7" s="7" customFormat="1" ht="9.75" customHeight="1">
      <c r="A38" s="23" t="s">
        <v>64</v>
      </c>
      <c r="B38" s="18" t="s">
        <v>63</v>
      </c>
      <c r="C38" s="18" t="s">
        <v>65</v>
      </c>
      <c r="D38" s="18" t="s">
        <v>23</v>
      </c>
      <c r="E38" s="19">
        <v>0</v>
      </c>
      <c r="F38" s="19">
        <v>0</v>
      </c>
      <c r="G38" s="12">
        <v>0</v>
      </c>
    </row>
    <row r="39" spans="1:7" s="7" customFormat="1" ht="9.75" customHeight="1">
      <c r="A39" s="23" t="s">
        <v>66</v>
      </c>
      <c r="B39" s="18" t="s">
        <v>63</v>
      </c>
      <c r="C39" s="18" t="s">
        <v>65</v>
      </c>
      <c r="D39" s="18" t="s">
        <v>23</v>
      </c>
      <c r="E39" s="19">
        <v>1827921.05</v>
      </c>
      <c r="F39" s="19">
        <f>381442.71+144478.34</f>
        <v>525921.05</v>
      </c>
      <c r="G39" s="12">
        <f t="shared" si="0"/>
        <v>28.771540762113336</v>
      </c>
    </row>
    <row r="40" spans="1:7" s="7" customFormat="1" ht="9.75" customHeight="1">
      <c r="A40" s="23" t="s">
        <v>67</v>
      </c>
      <c r="B40" s="18" t="s">
        <v>63</v>
      </c>
      <c r="C40" s="18" t="s">
        <v>68</v>
      </c>
      <c r="D40" s="18" t="s">
        <v>23</v>
      </c>
      <c r="E40" s="19">
        <v>3112254.35</v>
      </c>
      <c r="F40" s="19">
        <f>440751.92+66000+198000+1195769.22</f>
        <v>1900521.14</v>
      </c>
      <c r="G40" s="12">
        <f t="shared" si="0"/>
        <v>61.065739694443664</v>
      </c>
    </row>
    <row r="41" spans="1:7" s="7" customFormat="1" ht="9.75" customHeight="1">
      <c r="A41" s="23" t="s">
        <v>67</v>
      </c>
      <c r="B41" s="18" t="s">
        <v>63</v>
      </c>
      <c r="C41" s="18" t="s">
        <v>68</v>
      </c>
      <c r="D41" s="18" t="s">
        <v>27</v>
      </c>
      <c r="E41" s="19">
        <v>789526.14</v>
      </c>
      <c r="F41" s="19">
        <v>195847.38</v>
      </c>
      <c r="G41" s="12">
        <f t="shared" si="0"/>
        <v>24.805686610958823</v>
      </c>
    </row>
    <row r="42" spans="1:7" s="7" customFormat="1" ht="9.75" customHeight="1">
      <c r="A42" s="23" t="s">
        <v>67</v>
      </c>
      <c r="B42" s="18" t="s">
        <v>63</v>
      </c>
      <c r="C42" s="18" t="s">
        <v>65</v>
      </c>
      <c r="D42" s="18" t="s">
        <v>35</v>
      </c>
      <c r="E42" s="19">
        <f>3919006.14-2096950.3+1261006.81-5050</f>
        <v>3078012.6500000004</v>
      </c>
      <c r="F42" s="19">
        <v>1274289.44</v>
      </c>
      <c r="G42" s="12">
        <f t="shared" si="0"/>
        <v>41.39974668395205</v>
      </c>
    </row>
    <row r="43" spans="1:7" s="7" customFormat="1" ht="9.75" customHeight="1">
      <c r="A43" s="23" t="s">
        <v>67</v>
      </c>
      <c r="B43" s="18" t="s">
        <v>63</v>
      </c>
      <c r="C43" s="18" t="s">
        <v>69</v>
      </c>
      <c r="D43" s="18" t="s">
        <v>23</v>
      </c>
      <c r="E43" s="19">
        <f>15287300+1301994.4</f>
        <v>16589294.4</v>
      </c>
      <c r="F43" s="19">
        <f>6347245.91+10242048.48</f>
        <v>16589294.39</v>
      </c>
      <c r="G43" s="12">
        <f t="shared" si="0"/>
        <v>99.99999993972017</v>
      </c>
    </row>
    <row r="44" spans="1:7" s="7" customFormat="1" ht="9.75" customHeight="1">
      <c r="A44" s="23" t="s">
        <v>70</v>
      </c>
      <c r="B44" s="18" t="s">
        <v>63</v>
      </c>
      <c r="C44" s="18" t="s">
        <v>71</v>
      </c>
      <c r="D44" s="18" t="s">
        <v>3</v>
      </c>
      <c r="E44" s="19">
        <f>100000+27000+63000</f>
        <v>190000</v>
      </c>
      <c r="F44" s="19">
        <f>100000+90000</f>
        <v>190000</v>
      </c>
      <c r="G44" s="12">
        <f t="shared" si="0"/>
        <v>100</v>
      </c>
    </row>
    <row r="45" spans="1:7" s="7" customFormat="1" ht="9.75" customHeight="1">
      <c r="A45" s="23" t="s">
        <v>67</v>
      </c>
      <c r="B45" s="18" t="s">
        <v>63</v>
      </c>
      <c r="C45" s="18" t="s">
        <v>65</v>
      </c>
      <c r="D45" s="18" t="s">
        <v>35</v>
      </c>
      <c r="E45" s="19">
        <v>0</v>
      </c>
      <c r="F45" s="19">
        <v>0</v>
      </c>
      <c r="G45" s="12">
        <v>0</v>
      </c>
    </row>
    <row r="46" spans="1:7" s="7" customFormat="1" ht="9.75" customHeight="1">
      <c r="A46" s="23" t="s">
        <v>67</v>
      </c>
      <c r="B46" s="18" t="s">
        <v>63</v>
      </c>
      <c r="C46" s="18" t="s">
        <v>69</v>
      </c>
      <c r="D46" s="18" t="s">
        <v>7</v>
      </c>
      <c r="E46" s="19">
        <v>0</v>
      </c>
      <c r="F46" s="19">
        <v>0</v>
      </c>
      <c r="G46" s="12">
        <v>0</v>
      </c>
    </row>
    <row r="47" spans="1:7" s="7" customFormat="1" ht="9.75" customHeight="1">
      <c r="A47" s="23" t="s">
        <v>67</v>
      </c>
      <c r="B47" s="18" t="s">
        <v>63</v>
      </c>
      <c r="C47" s="18" t="s">
        <v>69</v>
      </c>
      <c r="D47" s="18" t="s">
        <v>27</v>
      </c>
      <c r="E47" s="19">
        <v>90000</v>
      </c>
      <c r="F47" s="19">
        <v>90000</v>
      </c>
      <c r="G47" s="12">
        <f t="shared" si="0"/>
        <v>100</v>
      </c>
    </row>
    <row r="48" spans="1:7" s="7" customFormat="1" ht="9.75" customHeight="1">
      <c r="A48" s="22" t="s">
        <v>0</v>
      </c>
      <c r="B48" s="11" t="s">
        <v>63</v>
      </c>
      <c r="C48" s="11" t="s">
        <v>46</v>
      </c>
      <c r="D48" s="11" t="s">
        <v>13</v>
      </c>
      <c r="E48" s="13">
        <f>E49+E64+E50</f>
        <v>5248910.220000001</v>
      </c>
      <c r="F48" s="13">
        <f>F49+F64+F50+F51</f>
        <v>4907071.600000001</v>
      </c>
      <c r="G48" s="12">
        <f t="shared" si="0"/>
        <v>93.48743633111712</v>
      </c>
    </row>
    <row r="49" spans="1:7" s="7" customFormat="1" ht="9.75" customHeight="1">
      <c r="A49" s="24" t="s">
        <v>49</v>
      </c>
      <c r="B49" s="15" t="s">
        <v>63</v>
      </c>
      <c r="C49" s="15" t="s">
        <v>46</v>
      </c>
      <c r="D49" s="15" t="s">
        <v>13</v>
      </c>
      <c r="E49" s="16">
        <f>E55+E60+E62+E54+E63+E61+E52+E53+E56+E57+E58+E59</f>
        <v>3932733.5100000002</v>
      </c>
      <c r="F49" s="16">
        <f>F55+F60+F62+F54+F63+F61+F52+F53+F56+F58+F59</f>
        <v>3549052.47</v>
      </c>
      <c r="G49" s="12">
        <f t="shared" si="0"/>
        <v>90.24390950913936</v>
      </c>
    </row>
    <row r="50" spans="1:7" s="7" customFormat="1" ht="9.75" customHeight="1">
      <c r="A50" s="25" t="s">
        <v>72</v>
      </c>
      <c r="B50" s="18" t="s">
        <v>63</v>
      </c>
      <c r="C50" s="18" t="s">
        <v>73</v>
      </c>
      <c r="D50" s="18" t="s">
        <v>4</v>
      </c>
      <c r="E50" s="19">
        <f>64218.24+568528.3-162296.93+7500</f>
        <v>477949.61000000004</v>
      </c>
      <c r="F50" s="19">
        <v>338142.2</v>
      </c>
      <c r="G50" s="12">
        <f t="shared" si="0"/>
        <v>70.7485042199323</v>
      </c>
    </row>
    <row r="51" spans="1:7" s="7" customFormat="1" ht="9.75" customHeight="1">
      <c r="A51" s="25" t="s">
        <v>72</v>
      </c>
      <c r="B51" s="18" t="s">
        <v>63</v>
      </c>
      <c r="C51" s="18" t="s">
        <v>74</v>
      </c>
      <c r="D51" s="18" t="s">
        <v>4</v>
      </c>
      <c r="E51" s="19">
        <v>233000</v>
      </c>
      <c r="F51" s="19">
        <v>187559.66</v>
      </c>
      <c r="G51" s="12">
        <f t="shared" si="0"/>
        <v>80.49770815450644</v>
      </c>
    </row>
    <row r="52" spans="1:7" s="7" customFormat="1" ht="9.75" customHeight="1">
      <c r="A52" s="25" t="s">
        <v>72</v>
      </c>
      <c r="B52" s="18" t="s">
        <v>63</v>
      </c>
      <c r="C52" s="18" t="s">
        <v>75</v>
      </c>
      <c r="D52" s="18" t="s">
        <v>4</v>
      </c>
      <c r="E52" s="19">
        <v>180620</v>
      </c>
      <c r="F52" s="19">
        <v>0</v>
      </c>
      <c r="G52" s="12">
        <f t="shared" si="0"/>
        <v>0</v>
      </c>
    </row>
    <row r="53" spans="1:7" s="7" customFormat="1" ht="9.75" customHeight="1">
      <c r="A53" s="25" t="s">
        <v>34</v>
      </c>
      <c r="B53" s="18" t="s">
        <v>63</v>
      </c>
      <c r="C53" s="18" t="s">
        <v>76</v>
      </c>
      <c r="D53" s="18" t="s">
        <v>35</v>
      </c>
      <c r="E53" s="19">
        <v>52370</v>
      </c>
      <c r="F53" s="19">
        <v>0</v>
      </c>
      <c r="G53" s="12">
        <f t="shared" si="0"/>
        <v>0</v>
      </c>
    </row>
    <row r="54" spans="1:7" s="7" customFormat="1" ht="9.75" customHeight="1">
      <c r="A54" s="25" t="s">
        <v>72</v>
      </c>
      <c r="B54" s="18" t="s">
        <v>63</v>
      </c>
      <c r="C54" s="18" t="s">
        <v>77</v>
      </c>
      <c r="D54" s="18" t="s">
        <v>4</v>
      </c>
      <c r="E54" s="19">
        <f>560631.03-145944.26-414686.77</f>
        <v>0</v>
      </c>
      <c r="F54" s="19">
        <v>0</v>
      </c>
      <c r="G54" s="12">
        <v>0</v>
      </c>
    </row>
    <row r="55" spans="1:7" s="7" customFormat="1" ht="9.75" customHeight="1">
      <c r="A55" s="25" t="s">
        <v>72</v>
      </c>
      <c r="B55" s="18" t="s">
        <v>63</v>
      </c>
      <c r="C55" s="18" t="s">
        <v>78</v>
      </c>
      <c r="D55" s="18" t="s">
        <v>4</v>
      </c>
      <c r="E55" s="19">
        <f>1832943.94+169187.24+236140.96</f>
        <v>2238272.14</v>
      </c>
      <c r="F55" s="19">
        <f>2002131.18+236140.96</f>
        <v>2238272.14</v>
      </c>
      <c r="G55" s="12">
        <f t="shared" si="0"/>
        <v>100</v>
      </c>
    </row>
    <row r="56" spans="1:7" s="7" customFormat="1" ht="9.75" customHeight="1">
      <c r="A56" s="25" t="s">
        <v>79</v>
      </c>
      <c r="B56" s="18" t="s">
        <v>63</v>
      </c>
      <c r="C56" s="18" t="s">
        <v>80</v>
      </c>
      <c r="D56" s="18" t="s">
        <v>4</v>
      </c>
      <c r="E56" s="19">
        <f>43597.16-43597.16</f>
        <v>0</v>
      </c>
      <c r="F56" s="19">
        <v>0</v>
      </c>
      <c r="G56" s="12">
        <v>0</v>
      </c>
    </row>
    <row r="57" spans="1:7" s="7" customFormat="1" ht="9.75" customHeight="1">
      <c r="A57" s="25" t="s">
        <v>79</v>
      </c>
      <c r="B57" s="18" t="s">
        <v>63</v>
      </c>
      <c r="C57" s="18" t="s">
        <v>80</v>
      </c>
      <c r="D57" s="18" t="s">
        <v>35</v>
      </c>
      <c r="E57" s="19">
        <f>18023.84-18023.84</f>
        <v>0</v>
      </c>
      <c r="F57" s="19">
        <v>0</v>
      </c>
      <c r="G57" s="12">
        <v>0</v>
      </c>
    </row>
    <row r="58" spans="1:7" s="7" customFormat="1" ht="9.75" customHeight="1">
      <c r="A58" s="25" t="s">
        <v>79</v>
      </c>
      <c r="B58" s="18" t="s">
        <v>63</v>
      </c>
      <c r="C58" s="18" t="s">
        <v>81</v>
      </c>
      <c r="D58" s="18" t="s">
        <v>4</v>
      </c>
      <c r="E58" s="19">
        <v>0</v>
      </c>
      <c r="F58" s="19">
        <v>0</v>
      </c>
      <c r="G58" s="12">
        <v>0</v>
      </c>
    </row>
    <row r="59" spans="1:7" s="7" customFormat="1" ht="9.75" customHeight="1">
      <c r="A59" s="25" t="s">
        <v>79</v>
      </c>
      <c r="B59" s="18" t="s">
        <v>63</v>
      </c>
      <c r="C59" s="18" t="s">
        <v>81</v>
      </c>
      <c r="D59" s="18" t="s">
        <v>35</v>
      </c>
      <c r="E59" s="19">
        <v>0</v>
      </c>
      <c r="F59" s="19">
        <v>0</v>
      </c>
      <c r="G59" s="12">
        <v>0</v>
      </c>
    </row>
    <row r="60" spans="1:7" s="7" customFormat="1" ht="9.75" customHeight="1">
      <c r="A60" s="25" t="s">
        <v>82</v>
      </c>
      <c r="B60" s="18" t="s">
        <v>63</v>
      </c>
      <c r="C60" s="18" t="s">
        <v>78</v>
      </c>
      <c r="D60" s="18" t="s">
        <v>8</v>
      </c>
      <c r="E60" s="19">
        <f>36210+380+39346.8+268+13540.38</f>
        <v>89745.18000000001</v>
      </c>
      <c r="F60" s="19">
        <f>4932+4102+2132+25424+39614.8+13540.38</f>
        <v>89745.18000000001</v>
      </c>
      <c r="G60" s="12">
        <f t="shared" si="0"/>
        <v>100</v>
      </c>
    </row>
    <row r="61" spans="1:7" s="7" customFormat="1" ht="9.75" customHeight="1">
      <c r="A61" s="25" t="s">
        <v>34</v>
      </c>
      <c r="B61" s="18" t="s">
        <v>63</v>
      </c>
      <c r="C61" s="18" t="s">
        <v>77</v>
      </c>
      <c r="D61" s="18" t="s">
        <v>35</v>
      </c>
      <c r="E61" s="19">
        <f>242565.28-88723.75-153841.53</f>
        <v>0</v>
      </c>
      <c r="F61" s="19">
        <v>0</v>
      </c>
      <c r="G61" s="12">
        <v>0</v>
      </c>
    </row>
    <row r="62" spans="1:7" s="7" customFormat="1" ht="9.75" customHeight="1">
      <c r="A62" s="25" t="s">
        <v>34</v>
      </c>
      <c r="B62" s="18" t="s">
        <v>63</v>
      </c>
      <c r="C62" s="18" t="s">
        <v>78</v>
      </c>
      <c r="D62" s="18" t="s">
        <v>35</v>
      </c>
      <c r="E62" s="19">
        <v>143572.11</v>
      </c>
      <c r="F62" s="19">
        <f>1425.19+1862.28+1643.43</f>
        <v>4930.900000000001</v>
      </c>
      <c r="G62" s="12">
        <f t="shared" si="0"/>
        <v>3.434441410661166</v>
      </c>
    </row>
    <row r="63" spans="1:7" s="7" customFormat="1" ht="9.75" customHeight="1">
      <c r="A63" s="25" t="s">
        <v>83</v>
      </c>
      <c r="B63" s="18" t="s">
        <v>63</v>
      </c>
      <c r="C63" s="18" t="s">
        <v>84</v>
      </c>
      <c r="D63" s="18" t="s">
        <v>35</v>
      </c>
      <c r="E63" s="51">
        <f>759409.93-37041.27-200-94242-132000-63000-28475.94-240338.97-13540.38-60941.65-2077.16-12680.09+0.09+166631.26+986650.26</f>
        <v>1228154.08</v>
      </c>
      <c r="F63" s="19">
        <v>1216104.25</v>
      </c>
      <c r="G63" s="12">
        <f t="shared" si="0"/>
        <v>99.01886659041999</v>
      </c>
    </row>
    <row r="64" spans="1:7" s="7" customFormat="1" ht="9.75" customHeight="1">
      <c r="A64" s="24" t="s">
        <v>55</v>
      </c>
      <c r="B64" s="15" t="s">
        <v>63</v>
      </c>
      <c r="C64" s="15" t="s">
        <v>78</v>
      </c>
      <c r="D64" s="15" t="s">
        <v>13</v>
      </c>
      <c r="E64" s="16">
        <f>E65+E66+E68+E69+E67</f>
        <v>838227.1000000001</v>
      </c>
      <c r="F64" s="16">
        <f>F65+F66+F68+F69+F67</f>
        <v>832317.27</v>
      </c>
      <c r="G64" s="12">
        <f t="shared" si="0"/>
        <v>99.29496075705498</v>
      </c>
    </row>
    <row r="65" spans="1:7" s="7" customFormat="1" ht="9.75" customHeight="1">
      <c r="A65" s="17" t="s">
        <v>56</v>
      </c>
      <c r="B65" s="18" t="s">
        <v>63</v>
      </c>
      <c r="C65" s="18" t="s">
        <v>78</v>
      </c>
      <c r="D65" s="18" t="s">
        <v>9</v>
      </c>
      <c r="E65" s="19">
        <v>142032.69</v>
      </c>
      <c r="F65" s="19">
        <f>16000+27275.9+9000+1300+62148+5200+19400+1300</f>
        <v>141623.9</v>
      </c>
      <c r="G65" s="12">
        <f t="shared" si="0"/>
        <v>99.71218597634108</v>
      </c>
    </row>
    <row r="66" spans="1:7" s="7" customFormat="1" ht="9.75" customHeight="1">
      <c r="A66" s="17" t="s">
        <v>22</v>
      </c>
      <c r="B66" s="18" t="s">
        <v>63</v>
      </c>
      <c r="C66" s="18" t="s">
        <v>78</v>
      </c>
      <c r="D66" s="18" t="s">
        <v>3</v>
      </c>
      <c r="E66" s="19">
        <v>364787.24</v>
      </c>
      <c r="F66" s="19">
        <v>359975.24</v>
      </c>
      <c r="G66" s="12">
        <f t="shared" si="0"/>
        <v>98.68087491218168</v>
      </c>
    </row>
    <row r="67" spans="1:7" s="7" customFormat="1" ht="9.75" customHeight="1">
      <c r="A67" s="17" t="s">
        <v>37</v>
      </c>
      <c r="B67" s="18" t="s">
        <v>63</v>
      </c>
      <c r="C67" s="18" t="s">
        <v>78</v>
      </c>
      <c r="D67" s="18" t="s">
        <v>23</v>
      </c>
      <c r="E67" s="19">
        <f>1088.58+1208.74+1012.61+1008.86-0.01+1008.48+2077.16+21149.84</f>
        <v>28554.260000000002</v>
      </c>
      <c r="F67" s="19">
        <f>2297.32+1012.61+2017.33+2077.16+21149.84</f>
        <v>28554.260000000002</v>
      </c>
      <c r="G67" s="12">
        <f t="shared" si="0"/>
        <v>100</v>
      </c>
    </row>
    <row r="68" spans="1:9" s="7" customFormat="1" ht="9.75" customHeight="1">
      <c r="A68" s="17" t="s">
        <v>37</v>
      </c>
      <c r="B68" s="18" t="s">
        <v>63</v>
      </c>
      <c r="C68" s="18" t="s">
        <v>78</v>
      </c>
      <c r="D68" s="18" t="s">
        <v>10</v>
      </c>
      <c r="E68" s="19">
        <f>10000-96-284.92-1088.58-4500-107.19-217.22-1208.74-1012.61-1008.85</f>
        <v>475.8900000000002</v>
      </c>
      <c r="F68" s="19">
        <v>0</v>
      </c>
      <c r="G68" s="12">
        <f t="shared" si="0"/>
        <v>0</v>
      </c>
      <c r="H68" s="26"/>
      <c r="I68" s="26"/>
    </row>
    <row r="69" spans="1:9" s="7" customFormat="1" ht="9.75" customHeight="1">
      <c r="A69" s="17" t="s">
        <v>58</v>
      </c>
      <c r="B69" s="18" t="s">
        <v>63</v>
      </c>
      <c r="C69" s="18" t="s">
        <v>78</v>
      </c>
      <c r="D69" s="18" t="s">
        <v>27</v>
      </c>
      <c r="E69" s="19">
        <f>96+284.92+100000+4500+107.19+217.22+197171.69</f>
        <v>302377.02</v>
      </c>
      <c r="F69" s="19">
        <f>104992.18+197171.69</f>
        <v>302163.87</v>
      </c>
      <c r="G69" s="12">
        <f t="shared" si="0"/>
        <v>99.92950853209678</v>
      </c>
      <c r="H69" s="26"/>
      <c r="I69" s="26"/>
    </row>
    <row r="70" spans="1:9" s="7" customFormat="1" ht="2.25" customHeight="1">
      <c r="A70" s="20"/>
      <c r="B70" s="27"/>
      <c r="C70" s="27"/>
      <c r="D70" s="27"/>
      <c r="E70" s="28"/>
      <c r="F70" s="28"/>
      <c r="G70" s="12" t="e">
        <f t="shared" si="0"/>
        <v>#DIV/0!</v>
      </c>
      <c r="H70" s="26"/>
      <c r="I70" s="26"/>
    </row>
    <row r="71" spans="1:9" s="7" customFormat="1" ht="9.75" customHeight="1">
      <c r="A71" s="22" t="s">
        <v>85</v>
      </c>
      <c r="B71" s="11" t="s">
        <v>86</v>
      </c>
      <c r="C71" s="11" t="s">
        <v>46</v>
      </c>
      <c r="D71" s="11" t="s">
        <v>13</v>
      </c>
      <c r="E71" s="13">
        <f>E72</f>
        <v>346200</v>
      </c>
      <c r="F71" s="13">
        <f>F72</f>
        <v>346200</v>
      </c>
      <c r="G71" s="12">
        <f t="shared" si="0"/>
        <v>100</v>
      </c>
      <c r="H71" s="26"/>
      <c r="I71" s="26"/>
    </row>
    <row r="72" spans="1:9" s="7" customFormat="1" ht="9.75" customHeight="1">
      <c r="A72" s="22" t="s">
        <v>1</v>
      </c>
      <c r="B72" s="11" t="s">
        <v>86</v>
      </c>
      <c r="C72" s="11" t="s">
        <v>87</v>
      </c>
      <c r="D72" s="11" t="s">
        <v>13</v>
      </c>
      <c r="E72" s="13">
        <f>E73+E77</f>
        <v>346200</v>
      </c>
      <c r="F72" s="13">
        <f>F73+F77</f>
        <v>346200</v>
      </c>
      <c r="G72" s="12">
        <f t="shared" si="0"/>
        <v>100</v>
      </c>
      <c r="H72" s="26"/>
      <c r="I72" s="26"/>
    </row>
    <row r="73" spans="1:9" s="7" customFormat="1" ht="9.75" customHeight="1">
      <c r="A73" s="24" t="s">
        <v>49</v>
      </c>
      <c r="B73" s="15" t="s">
        <v>86</v>
      </c>
      <c r="C73" s="15" t="s">
        <v>87</v>
      </c>
      <c r="D73" s="15" t="s">
        <v>13</v>
      </c>
      <c r="E73" s="16">
        <f>E74+E75+E76</f>
        <v>346200</v>
      </c>
      <c r="F73" s="16">
        <f>F74+F75+F76</f>
        <v>346200</v>
      </c>
      <c r="G73" s="12">
        <f t="shared" si="0"/>
        <v>100</v>
      </c>
      <c r="H73" s="26"/>
      <c r="I73" s="26"/>
    </row>
    <row r="74" spans="1:9" s="7" customFormat="1" ht="9.75" customHeight="1">
      <c r="A74" s="25" t="s">
        <v>72</v>
      </c>
      <c r="B74" s="18" t="s">
        <v>86</v>
      </c>
      <c r="C74" s="18" t="s">
        <v>87</v>
      </c>
      <c r="D74" s="29" t="s">
        <v>88</v>
      </c>
      <c r="E74" s="19">
        <f>230200+19801.63+27133.23</f>
        <v>277134.86</v>
      </c>
      <c r="F74" s="19">
        <f>250001.63+27133.23</f>
        <v>277134.86</v>
      </c>
      <c r="G74" s="12">
        <f t="shared" si="0"/>
        <v>100</v>
      </c>
      <c r="H74" s="26"/>
      <c r="I74" s="26"/>
    </row>
    <row r="75" spans="1:9" s="7" customFormat="1" ht="9.75" customHeight="1">
      <c r="A75" s="17" t="s">
        <v>61</v>
      </c>
      <c r="B75" s="18" t="s">
        <v>86</v>
      </c>
      <c r="C75" s="18" t="s">
        <v>87</v>
      </c>
      <c r="D75" s="29" t="s">
        <v>89</v>
      </c>
      <c r="E75" s="19">
        <f>26000-19892.05</f>
        <v>6107.950000000001</v>
      </c>
      <c r="F75" s="19">
        <f>832+416+4859.95</f>
        <v>6107.95</v>
      </c>
      <c r="G75" s="12">
        <f t="shared" si="0"/>
        <v>99.99999999999999</v>
      </c>
      <c r="H75" s="26"/>
      <c r="I75" s="26"/>
    </row>
    <row r="76" spans="1:9" s="7" customFormat="1" ht="9.75" customHeight="1">
      <c r="A76" s="17" t="s">
        <v>24</v>
      </c>
      <c r="B76" s="18" t="s">
        <v>86</v>
      </c>
      <c r="C76" s="18" t="s">
        <v>87</v>
      </c>
      <c r="D76" s="29" t="s">
        <v>90</v>
      </c>
      <c r="E76" s="19">
        <f>80000-19801.63+2758.82</f>
        <v>62957.189999999995</v>
      </c>
      <c r="F76" s="19">
        <f>28824.72+7495.26+188.28+26448.93</f>
        <v>62957.19</v>
      </c>
      <c r="G76" s="12">
        <f aca="true" t="shared" si="1" ref="G76:G139">F76/E76*100</f>
        <v>100.00000000000003</v>
      </c>
      <c r="H76" s="26"/>
      <c r="I76" s="26"/>
    </row>
    <row r="77" spans="1:9" s="7" customFormat="1" ht="9.75" customHeight="1">
      <c r="A77" s="24" t="s">
        <v>55</v>
      </c>
      <c r="B77" s="15" t="s">
        <v>86</v>
      </c>
      <c r="C77" s="15" t="s">
        <v>87</v>
      </c>
      <c r="D77" s="15" t="s">
        <v>13</v>
      </c>
      <c r="E77" s="16">
        <f>E78</f>
        <v>0</v>
      </c>
      <c r="F77" s="16">
        <f>F78</f>
        <v>0</v>
      </c>
      <c r="G77" s="12">
        <v>0</v>
      </c>
      <c r="H77" s="26"/>
      <c r="I77" s="26"/>
    </row>
    <row r="78" spans="1:9" s="7" customFormat="1" ht="9.75" customHeight="1">
      <c r="A78" s="17" t="s">
        <v>22</v>
      </c>
      <c r="B78" s="18" t="s">
        <v>86</v>
      </c>
      <c r="C78" s="18" t="s">
        <v>87</v>
      </c>
      <c r="D78" s="29" t="s">
        <v>91</v>
      </c>
      <c r="E78" s="19">
        <f>10000-10000</f>
        <v>0</v>
      </c>
      <c r="F78" s="19">
        <v>0</v>
      </c>
      <c r="G78" s="12">
        <v>0</v>
      </c>
      <c r="H78" s="26"/>
      <c r="I78" s="26"/>
    </row>
    <row r="79" spans="1:9" s="7" customFormat="1" ht="1.5" customHeight="1">
      <c r="A79" s="20"/>
      <c r="B79" s="27"/>
      <c r="C79" s="27"/>
      <c r="D79" s="27"/>
      <c r="E79" s="28"/>
      <c r="F79" s="28"/>
      <c r="G79" s="12" t="e">
        <f t="shared" si="1"/>
        <v>#DIV/0!</v>
      </c>
      <c r="H79" s="26"/>
      <c r="I79" s="26"/>
    </row>
    <row r="80" spans="1:9" s="7" customFormat="1" ht="9.75" customHeight="1">
      <c r="A80" s="22" t="s">
        <v>14</v>
      </c>
      <c r="B80" s="11" t="s">
        <v>92</v>
      </c>
      <c r="C80" s="11" t="s">
        <v>46</v>
      </c>
      <c r="D80" s="11" t="s">
        <v>13</v>
      </c>
      <c r="E80" s="13">
        <f>E81</f>
        <v>80000</v>
      </c>
      <c r="F80" s="13">
        <f>F81</f>
        <v>0</v>
      </c>
      <c r="G80" s="12">
        <f t="shared" si="1"/>
        <v>0</v>
      </c>
      <c r="H80" s="26"/>
      <c r="I80" s="26"/>
    </row>
    <row r="81" spans="1:9" s="7" customFormat="1" ht="9.75" customHeight="1">
      <c r="A81" s="24" t="s">
        <v>55</v>
      </c>
      <c r="B81" s="15" t="s">
        <v>92</v>
      </c>
      <c r="C81" s="15" t="s">
        <v>93</v>
      </c>
      <c r="D81" s="15" t="s">
        <v>13</v>
      </c>
      <c r="E81" s="16">
        <f>E82</f>
        <v>80000</v>
      </c>
      <c r="F81" s="16">
        <f>F82</f>
        <v>0</v>
      </c>
      <c r="G81" s="12">
        <f t="shared" si="1"/>
        <v>0</v>
      </c>
      <c r="H81" s="26"/>
      <c r="I81" s="26"/>
    </row>
    <row r="82" spans="1:9" s="7" customFormat="1" ht="9.75" customHeight="1">
      <c r="A82" s="17" t="s">
        <v>57</v>
      </c>
      <c r="B82" s="18" t="s">
        <v>92</v>
      </c>
      <c r="C82" s="18" t="s">
        <v>93</v>
      </c>
      <c r="D82" s="18" t="s">
        <v>3</v>
      </c>
      <c r="E82" s="19">
        <v>80000</v>
      </c>
      <c r="F82" s="19">
        <v>0</v>
      </c>
      <c r="G82" s="12">
        <f t="shared" si="1"/>
        <v>0</v>
      </c>
      <c r="H82" s="26"/>
      <c r="I82" s="26"/>
    </row>
    <row r="83" spans="1:9" s="7" customFormat="1" ht="1.5" customHeight="1">
      <c r="A83" s="20"/>
      <c r="B83" s="21"/>
      <c r="C83" s="21"/>
      <c r="D83" s="21"/>
      <c r="E83" s="21"/>
      <c r="F83" s="21"/>
      <c r="G83" s="12" t="e">
        <f t="shared" si="1"/>
        <v>#DIV/0!</v>
      </c>
      <c r="H83" s="26"/>
      <c r="I83" s="26"/>
    </row>
    <row r="84" spans="1:9" s="7" customFormat="1" ht="9.75" customHeight="1">
      <c r="A84" s="22" t="s">
        <v>94</v>
      </c>
      <c r="B84" s="11" t="s">
        <v>95</v>
      </c>
      <c r="C84" s="11" t="s">
        <v>46</v>
      </c>
      <c r="D84" s="11" t="s">
        <v>13</v>
      </c>
      <c r="E84" s="13">
        <f>E85+E90</f>
        <v>1029660</v>
      </c>
      <c r="F84" s="13">
        <f>F85</f>
        <v>0</v>
      </c>
      <c r="G84" s="12">
        <f t="shared" si="1"/>
        <v>0</v>
      </c>
      <c r="H84" s="26"/>
      <c r="I84" s="26"/>
    </row>
    <row r="85" spans="1:9" s="7" customFormat="1" ht="9.75" customHeight="1">
      <c r="A85" s="22" t="s">
        <v>96</v>
      </c>
      <c r="B85" s="11" t="s">
        <v>95</v>
      </c>
      <c r="C85" s="11" t="s">
        <v>97</v>
      </c>
      <c r="D85" s="11" t="s">
        <v>13</v>
      </c>
      <c r="E85" s="13">
        <f>E86</f>
        <v>1004660</v>
      </c>
      <c r="F85" s="13">
        <f>F86</f>
        <v>0</v>
      </c>
      <c r="G85" s="12">
        <f t="shared" si="1"/>
        <v>0</v>
      </c>
      <c r="H85" s="26"/>
      <c r="I85" s="26"/>
    </row>
    <row r="86" spans="1:9" s="7" customFormat="1" ht="9.75" customHeight="1">
      <c r="A86" s="24" t="s">
        <v>55</v>
      </c>
      <c r="B86" s="15" t="s">
        <v>95</v>
      </c>
      <c r="C86" s="15" t="s">
        <v>97</v>
      </c>
      <c r="D86" s="15" t="s">
        <v>13</v>
      </c>
      <c r="E86" s="16">
        <f>E87+E88</f>
        <v>1004660</v>
      </c>
      <c r="F86" s="16">
        <f>F87+F88</f>
        <v>0</v>
      </c>
      <c r="G86" s="12">
        <f t="shared" si="1"/>
        <v>0</v>
      </c>
      <c r="H86" s="26"/>
      <c r="I86" s="26"/>
    </row>
    <row r="87" spans="1:9" s="7" customFormat="1" ht="9.75" customHeight="1">
      <c r="A87" s="17" t="s">
        <v>29</v>
      </c>
      <c r="B87" s="18" t="s">
        <v>95</v>
      </c>
      <c r="C87" s="18" t="s">
        <v>97</v>
      </c>
      <c r="D87" s="18" t="s">
        <v>3</v>
      </c>
      <c r="E87" s="19">
        <f>439400+555260</f>
        <v>994660</v>
      </c>
      <c r="F87" s="19">
        <v>0</v>
      </c>
      <c r="G87" s="12">
        <f t="shared" si="1"/>
        <v>0</v>
      </c>
      <c r="H87" s="26"/>
      <c r="I87" s="26"/>
    </row>
    <row r="88" spans="1:9" s="7" customFormat="1" ht="9.75" customHeight="1">
      <c r="A88" s="17" t="s">
        <v>98</v>
      </c>
      <c r="B88" s="18" t="s">
        <v>95</v>
      </c>
      <c r="C88" s="18" t="s">
        <v>97</v>
      </c>
      <c r="D88" s="18" t="s">
        <v>3</v>
      </c>
      <c r="E88" s="19">
        <f>10000-10000+10000</f>
        <v>10000</v>
      </c>
      <c r="F88" s="19">
        <v>0</v>
      </c>
      <c r="G88" s="12">
        <f t="shared" si="1"/>
        <v>0</v>
      </c>
      <c r="H88" s="26"/>
      <c r="I88" s="26"/>
    </row>
    <row r="89" spans="1:9" s="7" customFormat="1" ht="1.5" customHeight="1">
      <c r="A89" s="20"/>
      <c r="B89" s="21"/>
      <c r="C89" s="21"/>
      <c r="D89" s="21"/>
      <c r="E89" s="21"/>
      <c r="F89" s="21"/>
      <c r="G89" s="12" t="e">
        <f t="shared" si="1"/>
        <v>#DIV/0!</v>
      </c>
      <c r="H89" s="26"/>
      <c r="I89" s="26"/>
    </row>
    <row r="90" spans="1:9" s="7" customFormat="1" ht="9.75" customHeight="1">
      <c r="A90" s="22" t="s">
        <v>99</v>
      </c>
      <c r="B90" s="11" t="s">
        <v>100</v>
      </c>
      <c r="C90" s="11" t="s">
        <v>46</v>
      </c>
      <c r="D90" s="11" t="s">
        <v>13</v>
      </c>
      <c r="E90" s="13">
        <f aca="true" t="shared" si="2" ref="E90:F92">E91</f>
        <v>25000</v>
      </c>
      <c r="F90" s="13">
        <f t="shared" si="2"/>
        <v>0</v>
      </c>
      <c r="G90" s="12">
        <f t="shared" si="1"/>
        <v>0</v>
      </c>
      <c r="H90" s="26"/>
      <c r="I90" s="26"/>
    </row>
    <row r="91" spans="1:9" s="7" customFormat="1" ht="9.75" customHeight="1">
      <c r="A91" s="22" t="s">
        <v>101</v>
      </c>
      <c r="B91" s="18" t="s">
        <v>100</v>
      </c>
      <c r="C91" s="18" t="s">
        <v>102</v>
      </c>
      <c r="D91" s="18" t="s">
        <v>13</v>
      </c>
      <c r="E91" s="19">
        <f t="shared" si="2"/>
        <v>25000</v>
      </c>
      <c r="F91" s="19">
        <f t="shared" si="2"/>
        <v>0</v>
      </c>
      <c r="G91" s="12">
        <f t="shared" si="1"/>
        <v>0</v>
      </c>
      <c r="H91" s="26"/>
      <c r="I91" s="26"/>
    </row>
    <row r="92" spans="1:9" s="7" customFormat="1" ht="9.75" customHeight="1">
      <c r="A92" s="24" t="s">
        <v>55</v>
      </c>
      <c r="B92" s="15" t="s">
        <v>100</v>
      </c>
      <c r="C92" s="15" t="s">
        <v>102</v>
      </c>
      <c r="D92" s="15" t="s">
        <v>13</v>
      </c>
      <c r="E92" s="16">
        <f t="shared" si="2"/>
        <v>25000</v>
      </c>
      <c r="F92" s="16">
        <f t="shared" si="2"/>
        <v>0</v>
      </c>
      <c r="G92" s="12">
        <f t="shared" si="1"/>
        <v>0</v>
      </c>
      <c r="H92" s="26"/>
      <c r="I92" s="26"/>
    </row>
    <row r="93" spans="1:9" s="7" customFormat="1" ht="9.75" customHeight="1">
      <c r="A93" s="17" t="s">
        <v>98</v>
      </c>
      <c r="B93" s="18" t="s">
        <v>100</v>
      </c>
      <c r="C93" s="18" t="s">
        <v>102</v>
      </c>
      <c r="D93" s="18" t="s">
        <v>3</v>
      </c>
      <c r="E93" s="19">
        <v>25000</v>
      </c>
      <c r="F93" s="19">
        <v>0</v>
      </c>
      <c r="G93" s="12">
        <f t="shared" si="1"/>
        <v>0</v>
      </c>
      <c r="H93" s="26"/>
      <c r="I93" s="26"/>
    </row>
    <row r="94" spans="1:9" s="7" customFormat="1" ht="1.5" customHeight="1">
      <c r="A94" s="30"/>
      <c r="B94" s="31"/>
      <c r="C94" s="31"/>
      <c r="D94" s="31"/>
      <c r="E94" s="31"/>
      <c r="F94" s="31"/>
      <c r="G94" s="12" t="e">
        <f t="shared" si="1"/>
        <v>#DIV/0!</v>
      </c>
      <c r="H94" s="26"/>
      <c r="I94" s="26"/>
    </row>
    <row r="95" spans="1:9" s="7" customFormat="1" ht="9.75" customHeight="1">
      <c r="A95" s="22" t="s">
        <v>103</v>
      </c>
      <c r="B95" s="11" t="s">
        <v>104</v>
      </c>
      <c r="C95" s="11" t="s">
        <v>46</v>
      </c>
      <c r="D95" s="11" t="s">
        <v>13</v>
      </c>
      <c r="E95" s="13">
        <f>E96+E103+E109</f>
        <v>34021240</v>
      </c>
      <c r="F95" s="13">
        <f>F96+F103+F109</f>
        <v>33536240</v>
      </c>
      <c r="G95" s="12">
        <f t="shared" si="1"/>
        <v>98.57441997998897</v>
      </c>
      <c r="H95" s="26"/>
      <c r="I95" s="26"/>
    </row>
    <row r="96" spans="1:9" s="7" customFormat="1" ht="9.75" customHeight="1">
      <c r="A96" s="24" t="s">
        <v>105</v>
      </c>
      <c r="B96" s="15" t="s">
        <v>106</v>
      </c>
      <c r="C96" s="15" t="s">
        <v>46</v>
      </c>
      <c r="D96" s="15" t="s">
        <v>13</v>
      </c>
      <c r="E96" s="16">
        <f>E97</f>
        <v>250000</v>
      </c>
      <c r="F96" s="16">
        <f>F97</f>
        <v>0</v>
      </c>
      <c r="G96" s="12">
        <f t="shared" si="1"/>
        <v>0</v>
      </c>
      <c r="H96" s="26"/>
      <c r="I96" s="26"/>
    </row>
    <row r="97" spans="1:9" s="7" customFormat="1" ht="9.75" customHeight="1">
      <c r="A97" s="24" t="s">
        <v>107</v>
      </c>
      <c r="B97" s="15" t="s">
        <v>106</v>
      </c>
      <c r="C97" s="15" t="s">
        <v>46</v>
      </c>
      <c r="D97" s="15" t="s">
        <v>13</v>
      </c>
      <c r="E97" s="16">
        <f>E100+E98</f>
        <v>250000</v>
      </c>
      <c r="F97" s="16">
        <f>F100+F98</f>
        <v>0</v>
      </c>
      <c r="G97" s="12">
        <f t="shared" si="1"/>
        <v>0</v>
      </c>
      <c r="H97" s="32"/>
      <c r="I97" s="26"/>
    </row>
    <row r="98" spans="1:9" s="7" customFormat="1" ht="9.75" customHeight="1">
      <c r="A98" s="22" t="s">
        <v>108</v>
      </c>
      <c r="B98" s="11" t="s">
        <v>106</v>
      </c>
      <c r="C98" s="11" t="s">
        <v>109</v>
      </c>
      <c r="D98" s="11" t="s">
        <v>13</v>
      </c>
      <c r="E98" s="13">
        <f>E99</f>
        <v>0</v>
      </c>
      <c r="F98" s="13">
        <f>F99</f>
        <v>0</v>
      </c>
      <c r="G98" s="12">
        <v>0</v>
      </c>
      <c r="H98" s="32"/>
      <c r="I98" s="26"/>
    </row>
    <row r="99" spans="1:9" s="7" customFormat="1" ht="9.75" customHeight="1">
      <c r="A99" s="17" t="s">
        <v>29</v>
      </c>
      <c r="B99" s="18" t="s">
        <v>106</v>
      </c>
      <c r="C99" s="18" t="s">
        <v>109</v>
      </c>
      <c r="D99" s="18" t="s">
        <v>3</v>
      </c>
      <c r="E99" s="19">
        <v>0</v>
      </c>
      <c r="F99" s="19">
        <v>0</v>
      </c>
      <c r="G99" s="12">
        <v>0</v>
      </c>
      <c r="H99" s="32"/>
      <c r="I99" s="26"/>
    </row>
    <row r="100" spans="1:9" s="7" customFormat="1" ht="9.75" customHeight="1">
      <c r="A100" s="22" t="s">
        <v>110</v>
      </c>
      <c r="B100" s="11" t="s">
        <v>106</v>
      </c>
      <c r="C100" s="11" t="s">
        <v>111</v>
      </c>
      <c r="D100" s="11" t="s">
        <v>13</v>
      </c>
      <c r="E100" s="13">
        <f>E101</f>
        <v>250000</v>
      </c>
      <c r="F100" s="13">
        <f>F101</f>
        <v>0</v>
      </c>
      <c r="G100" s="12">
        <f t="shared" si="1"/>
        <v>0</v>
      </c>
      <c r="H100" s="26"/>
      <c r="I100" s="26"/>
    </row>
    <row r="101" spans="1:9" s="7" customFormat="1" ht="9.75" customHeight="1">
      <c r="A101" s="17" t="s">
        <v>29</v>
      </c>
      <c r="B101" s="18" t="s">
        <v>106</v>
      </c>
      <c r="C101" s="18" t="s">
        <v>111</v>
      </c>
      <c r="D101" s="18" t="s">
        <v>3</v>
      </c>
      <c r="E101" s="19">
        <v>250000</v>
      </c>
      <c r="F101" s="19">
        <v>0</v>
      </c>
      <c r="G101" s="12">
        <f t="shared" si="1"/>
        <v>0</v>
      </c>
      <c r="H101" s="26"/>
      <c r="I101" s="26"/>
    </row>
    <row r="102" spans="1:9" s="7" customFormat="1" ht="1.5" customHeight="1">
      <c r="A102" s="20"/>
      <c r="B102" s="21"/>
      <c r="C102" s="21"/>
      <c r="D102" s="21"/>
      <c r="E102" s="21"/>
      <c r="F102" s="21"/>
      <c r="G102" s="12" t="e">
        <f t="shared" si="1"/>
        <v>#DIV/0!</v>
      </c>
      <c r="H102" s="26"/>
      <c r="I102" s="26"/>
    </row>
    <row r="103" spans="1:9" s="7" customFormat="1" ht="9.75" customHeight="1">
      <c r="A103" s="24" t="s">
        <v>112</v>
      </c>
      <c r="B103" s="15" t="s">
        <v>113</v>
      </c>
      <c r="C103" s="15" t="s">
        <v>46</v>
      </c>
      <c r="D103" s="15" t="s">
        <v>13</v>
      </c>
      <c r="E103" s="16">
        <f>E104+E107</f>
        <v>33576240</v>
      </c>
      <c r="F103" s="16">
        <f>F104+F107</f>
        <v>33536240</v>
      </c>
      <c r="G103" s="12">
        <f t="shared" si="1"/>
        <v>99.8808681377069</v>
      </c>
      <c r="H103" s="26"/>
      <c r="I103" s="26"/>
    </row>
    <row r="104" spans="1:9" s="7" customFormat="1" ht="9.75" customHeight="1">
      <c r="A104" s="22" t="s">
        <v>49</v>
      </c>
      <c r="B104" s="11" t="s">
        <v>113</v>
      </c>
      <c r="C104" s="11" t="s">
        <v>46</v>
      </c>
      <c r="D104" s="11" t="s">
        <v>13</v>
      </c>
      <c r="E104" s="13">
        <f>E105</f>
        <v>70000</v>
      </c>
      <c r="F104" s="13">
        <f>F105</f>
        <v>30000</v>
      </c>
      <c r="G104" s="12">
        <f t="shared" si="1"/>
        <v>42.857142857142854</v>
      </c>
      <c r="H104" s="26"/>
      <c r="I104" s="26"/>
    </row>
    <row r="105" spans="1:9" s="7" customFormat="1" ht="9.75" customHeight="1">
      <c r="A105" s="22" t="s">
        <v>114</v>
      </c>
      <c r="B105" s="11" t="s">
        <v>113</v>
      </c>
      <c r="C105" s="11" t="s">
        <v>115</v>
      </c>
      <c r="D105" s="11" t="s">
        <v>13</v>
      </c>
      <c r="E105" s="13">
        <f>E106</f>
        <v>70000</v>
      </c>
      <c r="F105" s="13">
        <f>F106</f>
        <v>30000</v>
      </c>
      <c r="G105" s="12">
        <f t="shared" si="1"/>
        <v>42.857142857142854</v>
      </c>
      <c r="H105" s="26"/>
      <c r="I105" s="26"/>
    </row>
    <row r="106" spans="1:9" s="7" customFormat="1" ht="9.75" customHeight="1">
      <c r="A106" s="17" t="s">
        <v>98</v>
      </c>
      <c r="B106" s="18" t="s">
        <v>113</v>
      </c>
      <c r="C106" s="18" t="s">
        <v>115</v>
      </c>
      <c r="D106" s="18" t="s">
        <v>3</v>
      </c>
      <c r="E106" s="19">
        <v>70000</v>
      </c>
      <c r="F106" s="19">
        <v>30000</v>
      </c>
      <c r="G106" s="12">
        <f t="shared" si="1"/>
        <v>42.857142857142854</v>
      </c>
      <c r="H106" s="26"/>
      <c r="I106" s="26"/>
    </row>
    <row r="107" spans="1:9" s="7" customFormat="1" ht="9.75" customHeight="1">
      <c r="A107" s="17" t="s">
        <v>116</v>
      </c>
      <c r="B107" s="18" t="s">
        <v>113</v>
      </c>
      <c r="C107" s="18" t="s">
        <v>117</v>
      </c>
      <c r="D107" s="18" t="s">
        <v>3</v>
      </c>
      <c r="E107" s="19">
        <f>33506240</f>
        <v>33506240</v>
      </c>
      <c r="F107" s="19">
        <v>33506240</v>
      </c>
      <c r="G107" s="12">
        <f t="shared" si="1"/>
        <v>100</v>
      </c>
      <c r="H107" s="26"/>
      <c r="I107" s="26"/>
    </row>
    <row r="108" spans="1:9" s="7" customFormat="1" ht="1.5" customHeight="1">
      <c r="A108" s="20"/>
      <c r="B108" s="21"/>
      <c r="C108" s="21"/>
      <c r="D108" s="21"/>
      <c r="E108" s="21"/>
      <c r="F108" s="21"/>
      <c r="G108" s="12" t="e">
        <f t="shared" si="1"/>
        <v>#DIV/0!</v>
      </c>
      <c r="H108" s="26"/>
      <c r="I108" s="26"/>
    </row>
    <row r="109" spans="1:9" s="7" customFormat="1" ht="9.75" customHeight="1">
      <c r="A109" s="22" t="s">
        <v>118</v>
      </c>
      <c r="B109" s="11" t="s">
        <v>119</v>
      </c>
      <c r="C109" s="11" t="s">
        <v>46</v>
      </c>
      <c r="D109" s="11" t="s">
        <v>13</v>
      </c>
      <c r="E109" s="13">
        <f>E110</f>
        <v>195000</v>
      </c>
      <c r="F109" s="13">
        <f>F110</f>
        <v>0</v>
      </c>
      <c r="G109" s="12">
        <f t="shared" si="1"/>
        <v>0</v>
      </c>
      <c r="H109" s="26"/>
      <c r="I109" s="26"/>
    </row>
    <row r="110" spans="1:9" s="7" customFormat="1" ht="9.75" customHeight="1">
      <c r="A110" s="24" t="s">
        <v>49</v>
      </c>
      <c r="B110" s="15" t="s">
        <v>119</v>
      </c>
      <c r="C110" s="15" t="s">
        <v>46</v>
      </c>
      <c r="D110" s="15" t="s">
        <v>13</v>
      </c>
      <c r="E110" s="16">
        <f>E111+E113</f>
        <v>195000</v>
      </c>
      <c r="F110" s="16">
        <f>F111</f>
        <v>0</v>
      </c>
      <c r="G110" s="12">
        <f t="shared" si="1"/>
        <v>0</v>
      </c>
      <c r="H110" s="26"/>
      <c r="I110" s="26"/>
    </row>
    <row r="111" spans="1:9" s="7" customFormat="1" ht="9.75" customHeight="1">
      <c r="A111" s="24" t="s">
        <v>120</v>
      </c>
      <c r="B111" s="15" t="s">
        <v>119</v>
      </c>
      <c r="C111" s="15" t="s">
        <v>121</v>
      </c>
      <c r="D111" s="15" t="s">
        <v>3</v>
      </c>
      <c r="E111" s="16">
        <f>E112</f>
        <v>0</v>
      </c>
      <c r="F111" s="16">
        <f>F112</f>
        <v>0</v>
      </c>
      <c r="G111" s="12">
        <v>0</v>
      </c>
      <c r="H111" s="26"/>
      <c r="I111" s="26"/>
    </row>
    <row r="112" spans="1:9" s="7" customFormat="1" ht="9.75" customHeight="1">
      <c r="A112" s="17" t="s">
        <v>122</v>
      </c>
      <c r="B112" s="18" t="s">
        <v>119</v>
      </c>
      <c r="C112" s="18" t="s">
        <v>121</v>
      </c>
      <c r="D112" s="18" t="s">
        <v>3</v>
      </c>
      <c r="E112" s="19">
        <v>0</v>
      </c>
      <c r="F112" s="19">
        <v>0</v>
      </c>
      <c r="G112" s="12">
        <v>0</v>
      </c>
      <c r="H112" s="26"/>
      <c r="I112" s="26"/>
    </row>
    <row r="113" spans="1:9" s="7" customFormat="1" ht="9.75" customHeight="1">
      <c r="A113" s="17" t="s">
        <v>123</v>
      </c>
      <c r="B113" s="18" t="s">
        <v>119</v>
      </c>
      <c r="C113" s="18" t="s">
        <v>121</v>
      </c>
      <c r="D113" s="18" t="s">
        <v>3</v>
      </c>
      <c r="E113" s="19">
        <v>195000</v>
      </c>
      <c r="F113" s="19">
        <v>0</v>
      </c>
      <c r="G113" s="12">
        <f t="shared" si="1"/>
        <v>0</v>
      </c>
      <c r="H113" s="26"/>
      <c r="I113" s="26"/>
    </row>
    <row r="114" spans="1:9" s="7" customFormat="1" ht="3" customHeight="1">
      <c r="A114" s="20"/>
      <c r="B114" s="21"/>
      <c r="C114" s="21"/>
      <c r="D114" s="21"/>
      <c r="E114" s="21"/>
      <c r="F114" s="21"/>
      <c r="G114" s="12" t="e">
        <f t="shared" si="1"/>
        <v>#DIV/0!</v>
      </c>
      <c r="H114" s="26"/>
      <c r="I114" s="26"/>
    </row>
    <row r="115" spans="1:9" s="7" customFormat="1" ht="9.75" customHeight="1">
      <c r="A115" s="22" t="s">
        <v>28</v>
      </c>
      <c r="B115" s="33" t="s">
        <v>124</v>
      </c>
      <c r="C115" s="33" t="s">
        <v>46</v>
      </c>
      <c r="D115" s="33" t="s">
        <v>13</v>
      </c>
      <c r="E115" s="34">
        <f>E116</f>
        <v>900</v>
      </c>
      <c r="F115" s="34" t="str">
        <f>F116</f>
        <v>0,00</v>
      </c>
      <c r="G115" s="12">
        <f t="shared" si="1"/>
        <v>0</v>
      </c>
      <c r="H115" s="26"/>
      <c r="I115" s="26"/>
    </row>
    <row r="116" spans="1:9" s="7" customFormat="1" ht="9.75" customHeight="1">
      <c r="A116" s="24" t="s">
        <v>125</v>
      </c>
      <c r="B116" s="35" t="s">
        <v>124</v>
      </c>
      <c r="C116" s="35" t="s">
        <v>46</v>
      </c>
      <c r="D116" s="35" t="s">
        <v>13</v>
      </c>
      <c r="E116" s="36">
        <f>E117</f>
        <v>900</v>
      </c>
      <c r="F116" s="36" t="str">
        <f>F117</f>
        <v>0,00</v>
      </c>
      <c r="G116" s="12">
        <f t="shared" si="1"/>
        <v>0</v>
      </c>
      <c r="H116" s="26"/>
      <c r="I116" s="26"/>
    </row>
    <row r="117" spans="1:9" s="7" customFormat="1" ht="9.75" customHeight="1">
      <c r="A117" s="37" t="s">
        <v>29</v>
      </c>
      <c r="B117" s="38" t="s">
        <v>124</v>
      </c>
      <c r="C117" s="38" t="s">
        <v>126</v>
      </c>
      <c r="D117" s="38" t="s">
        <v>3</v>
      </c>
      <c r="E117" s="39">
        <f>900</f>
        <v>900</v>
      </c>
      <c r="F117" s="39" t="s">
        <v>127</v>
      </c>
      <c r="G117" s="12">
        <f t="shared" si="1"/>
        <v>0</v>
      </c>
      <c r="H117" s="26"/>
      <c r="I117" s="26"/>
    </row>
    <row r="118" spans="1:7" s="40" customFormat="1" ht="3" customHeight="1">
      <c r="A118" s="20"/>
      <c r="B118" s="21"/>
      <c r="C118" s="21"/>
      <c r="D118" s="21"/>
      <c r="E118" s="21"/>
      <c r="F118" s="21"/>
      <c r="G118" s="12" t="e">
        <f t="shared" si="1"/>
        <v>#DIV/0!</v>
      </c>
    </row>
    <row r="119" spans="1:9" s="7" customFormat="1" ht="9.75" customHeight="1">
      <c r="A119" s="41" t="s">
        <v>128</v>
      </c>
      <c r="B119" s="42" t="s">
        <v>129</v>
      </c>
      <c r="C119" s="42" t="s">
        <v>46</v>
      </c>
      <c r="D119" s="42" t="s">
        <v>13</v>
      </c>
      <c r="E119" s="43">
        <f>E120+E146</f>
        <v>5494005.180000001</v>
      </c>
      <c r="F119" s="43">
        <f>F120+F146</f>
        <v>5403390.250000001</v>
      </c>
      <c r="G119" s="12">
        <f t="shared" si="1"/>
        <v>98.35065808947782</v>
      </c>
      <c r="H119" s="26"/>
      <c r="I119" s="26"/>
    </row>
    <row r="120" spans="1:9" s="7" customFormat="1" ht="9.75" customHeight="1">
      <c r="A120" s="22" t="s">
        <v>130</v>
      </c>
      <c r="B120" s="11" t="s">
        <v>129</v>
      </c>
      <c r="C120" s="11" t="s">
        <v>46</v>
      </c>
      <c r="D120" s="11" t="s">
        <v>13</v>
      </c>
      <c r="E120" s="13">
        <f>E121+E122+E123+E137+E124+E127+E128+E129+E126+E125</f>
        <v>4473371.45</v>
      </c>
      <c r="F120" s="13">
        <f>F121+F122+F123+F137+F124+F127+F128+F129+F126+F125</f>
        <v>4422132.5200000005</v>
      </c>
      <c r="G120" s="12">
        <f t="shared" si="1"/>
        <v>98.85457913404441</v>
      </c>
      <c r="H120" s="26"/>
      <c r="I120" s="26"/>
    </row>
    <row r="121" spans="1:9" s="45" customFormat="1" ht="9.75" customHeight="1">
      <c r="A121" s="24" t="s">
        <v>49</v>
      </c>
      <c r="B121" s="15" t="s">
        <v>129</v>
      </c>
      <c r="C121" s="15" t="s">
        <v>131</v>
      </c>
      <c r="D121" s="15" t="s">
        <v>13</v>
      </c>
      <c r="E121" s="16">
        <f>E130+E134</f>
        <v>0</v>
      </c>
      <c r="F121" s="16">
        <f>F130+F134</f>
        <v>0</v>
      </c>
      <c r="G121" s="12">
        <v>0</v>
      </c>
      <c r="H121" s="44"/>
      <c r="I121" s="44"/>
    </row>
    <row r="122" spans="1:9" s="45" customFormat="1" ht="9.75" customHeight="1">
      <c r="A122" s="24" t="s">
        <v>49</v>
      </c>
      <c r="B122" s="15" t="s">
        <v>129</v>
      </c>
      <c r="C122" s="15" t="s">
        <v>132</v>
      </c>
      <c r="D122" s="15" t="s">
        <v>13</v>
      </c>
      <c r="E122" s="16">
        <f>E131+E135</f>
        <v>0</v>
      </c>
      <c r="F122" s="16">
        <f>F131+F135</f>
        <v>0</v>
      </c>
      <c r="G122" s="12">
        <v>0</v>
      </c>
      <c r="H122" s="44"/>
      <c r="I122" s="44"/>
    </row>
    <row r="123" spans="1:9" s="45" customFormat="1" ht="9.75" customHeight="1">
      <c r="A123" s="24" t="s">
        <v>49</v>
      </c>
      <c r="B123" s="15" t="s">
        <v>129</v>
      </c>
      <c r="C123" s="15" t="s">
        <v>133</v>
      </c>
      <c r="D123" s="15" t="s">
        <v>13</v>
      </c>
      <c r="E123" s="16">
        <f>E132+E133+E136</f>
        <v>1425561.32</v>
      </c>
      <c r="F123" s="16">
        <f>F132+F133+F136</f>
        <v>1420166.62</v>
      </c>
      <c r="G123" s="12">
        <f t="shared" si="1"/>
        <v>99.62157362687142</v>
      </c>
      <c r="H123" s="44"/>
      <c r="I123" s="44"/>
    </row>
    <row r="124" spans="1:9" s="45" customFormat="1" ht="9.75" customHeight="1">
      <c r="A124" s="24" t="s">
        <v>49</v>
      </c>
      <c r="B124" s="15" t="s">
        <v>129</v>
      </c>
      <c r="C124" s="15" t="s">
        <v>134</v>
      </c>
      <c r="D124" s="15" t="s">
        <v>13</v>
      </c>
      <c r="E124" s="16">
        <f>E143</f>
        <v>334700</v>
      </c>
      <c r="F124" s="16">
        <f>F143</f>
        <v>334700</v>
      </c>
      <c r="G124" s="12">
        <f t="shared" si="1"/>
        <v>100</v>
      </c>
      <c r="H124" s="44"/>
      <c r="I124" s="44"/>
    </row>
    <row r="125" spans="1:9" s="45" customFormat="1" ht="9.75" customHeight="1">
      <c r="A125" s="25" t="s">
        <v>135</v>
      </c>
      <c r="B125" s="18" t="s">
        <v>136</v>
      </c>
      <c r="C125" s="18" t="s">
        <v>137</v>
      </c>
      <c r="D125" s="18" t="s">
        <v>3</v>
      </c>
      <c r="E125" s="19">
        <v>101000</v>
      </c>
      <c r="F125" s="19">
        <v>101000</v>
      </c>
      <c r="G125" s="12">
        <f t="shared" si="1"/>
        <v>100</v>
      </c>
      <c r="H125" s="44"/>
      <c r="I125" s="44"/>
    </row>
    <row r="126" spans="1:9" s="45" customFormat="1" ht="9.75" customHeight="1">
      <c r="A126" s="25" t="s">
        <v>72</v>
      </c>
      <c r="B126" s="18" t="s">
        <v>129</v>
      </c>
      <c r="C126" s="18" t="s">
        <v>138</v>
      </c>
      <c r="D126" s="18" t="s">
        <v>4</v>
      </c>
      <c r="E126" s="19">
        <f>378263.93+53016.34+69915.95</f>
        <v>501196.22000000003</v>
      </c>
      <c r="F126" s="19">
        <f>431280.27+69915.95</f>
        <v>501196.22000000003</v>
      </c>
      <c r="G126" s="12">
        <f t="shared" si="1"/>
        <v>100</v>
      </c>
      <c r="H126" s="44"/>
      <c r="I126" s="44"/>
    </row>
    <row r="127" spans="1:9" s="45" customFormat="1" ht="9.75" customHeight="1">
      <c r="A127" s="25" t="s">
        <v>34</v>
      </c>
      <c r="B127" s="18" t="s">
        <v>129</v>
      </c>
      <c r="C127" s="18" t="s">
        <v>138</v>
      </c>
      <c r="D127" s="18" t="s">
        <v>35</v>
      </c>
      <c r="E127" s="19">
        <f>114687.12+12762.42+24536.56</f>
        <v>151986.1</v>
      </c>
      <c r="F127" s="19">
        <f>127449.54+24536.56</f>
        <v>151986.1</v>
      </c>
      <c r="G127" s="12">
        <f t="shared" si="1"/>
        <v>100</v>
      </c>
      <c r="H127" s="44"/>
      <c r="I127" s="44"/>
    </row>
    <row r="128" spans="1:9" s="45" customFormat="1" ht="9.75" customHeight="1">
      <c r="A128" s="25" t="s">
        <v>72</v>
      </c>
      <c r="B128" s="18" t="s">
        <v>129</v>
      </c>
      <c r="C128" s="18" t="s">
        <v>139</v>
      </c>
      <c r="D128" s="18" t="s">
        <v>4</v>
      </c>
      <c r="E128" s="19">
        <f>604430+48145.34</f>
        <v>652575.34</v>
      </c>
      <c r="F128" s="19">
        <f>479415.93+173159.41</f>
        <v>652575.34</v>
      </c>
      <c r="G128" s="12">
        <f t="shared" si="1"/>
        <v>100</v>
      </c>
      <c r="H128" s="44"/>
      <c r="I128" s="44"/>
    </row>
    <row r="129" spans="1:9" s="45" customFormat="1" ht="9.75" customHeight="1">
      <c r="A129" s="25" t="s">
        <v>34</v>
      </c>
      <c r="B129" s="18" t="s">
        <v>129</v>
      </c>
      <c r="C129" s="18" t="s">
        <v>139</v>
      </c>
      <c r="D129" s="18" t="s">
        <v>35</v>
      </c>
      <c r="E129" s="19">
        <f>182538+13549.77+33176</f>
        <v>229263.77</v>
      </c>
      <c r="F129" s="19">
        <f>140291.66+55796.11</f>
        <v>196087.77000000002</v>
      </c>
      <c r="G129" s="12">
        <f t="shared" si="1"/>
        <v>85.52933156425023</v>
      </c>
      <c r="H129" s="44"/>
      <c r="I129" s="44"/>
    </row>
    <row r="130" spans="1:9" s="7" customFormat="1" ht="9.75" customHeight="1">
      <c r="A130" s="25" t="s">
        <v>72</v>
      </c>
      <c r="B130" s="18" t="s">
        <v>129</v>
      </c>
      <c r="C130" s="18" t="s">
        <v>131</v>
      </c>
      <c r="D130" s="18" t="s">
        <v>4</v>
      </c>
      <c r="E130" s="19">
        <v>0</v>
      </c>
      <c r="F130" s="19">
        <f>205352.25+111220.38+5278.6-321851.23</f>
        <v>0</v>
      </c>
      <c r="G130" s="12">
        <v>0</v>
      </c>
      <c r="H130" s="26"/>
      <c r="I130" s="26"/>
    </row>
    <row r="131" spans="1:9" s="7" customFormat="1" ht="9.75" customHeight="1">
      <c r="A131" s="25" t="s">
        <v>72</v>
      </c>
      <c r="B131" s="18" t="s">
        <v>129</v>
      </c>
      <c r="C131" s="18" t="s">
        <v>132</v>
      </c>
      <c r="D131" s="18" t="s">
        <v>4</v>
      </c>
      <c r="E131" s="19">
        <v>0</v>
      </c>
      <c r="F131" s="19">
        <f>233429.45+101661.16-335090.61</f>
        <v>0</v>
      </c>
      <c r="G131" s="12">
        <v>0</v>
      </c>
      <c r="H131" s="26"/>
      <c r="I131" s="26"/>
    </row>
    <row r="132" spans="1:9" s="7" customFormat="1" ht="9.75" customHeight="1">
      <c r="A132" s="25" t="s">
        <v>72</v>
      </c>
      <c r="B132" s="18" t="s">
        <v>129</v>
      </c>
      <c r="C132" s="18" t="s">
        <v>133</v>
      </c>
      <c r="D132" s="18" t="s">
        <v>4</v>
      </c>
      <c r="E132" s="19">
        <f>783319.36+19883.59+63300.4+50+158632.69</f>
        <v>1025186.04</v>
      </c>
      <c r="F132" s="19">
        <f>866503.35+158682.69</f>
        <v>1025186.04</v>
      </c>
      <c r="G132" s="12">
        <f t="shared" si="1"/>
        <v>100</v>
      </c>
      <c r="H132" s="26"/>
      <c r="I132" s="26"/>
    </row>
    <row r="133" spans="1:9" s="7" customFormat="1" ht="9.75" customHeight="1">
      <c r="A133" s="25" t="s">
        <v>82</v>
      </c>
      <c r="B133" s="18" t="s">
        <v>129</v>
      </c>
      <c r="C133" s="18" t="s">
        <v>133</v>
      </c>
      <c r="D133" s="18" t="s">
        <v>8</v>
      </c>
      <c r="E133" s="19">
        <v>80000</v>
      </c>
      <c r="F133" s="19">
        <f>416+416+7936+61916.6+3296.7+624</f>
        <v>74605.3</v>
      </c>
      <c r="G133" s="12">
        <f t="shared" si="1"/>
        <v>93.256625</v>
      </c>
      <c r="H133" s="26"/>
      <c r="I133" s="26"/>
    </row>
    <row r="134" spans="1:9" s="7" customFormat="1" ht="9.75" customHeight="1">
      <c r="A134" s="25" t="s">
        <v>34</v>
      </c>
      <c r="B134" s="18" t="s">
        <v>129</v>
      </c>
      <c r="C134" s="18" t="s">
        <v>131</v>
      </c>
      <c r="D134" s="18" t="s">
        <v>35</v>
      </c>
      <c r="E134" s="19">
        <v>0</v>
      </c>
      <c r="F134" s="19">
        <f>21840.51+12069.15+27181.62+0-61091.28</f>
        <v>0</v>
      </c>
      <c r="G134" s="12">
        <v>0</v>
      </c>
      <c r="H134" s="26"/>
      <c r="I134" s="26"/>
    </row>
    <row r="135" spans="1:9" s="7" customFormat="1" ht="9.75" customHeight="1">
      <c r="A135" s="25" t="s">
        <v>34</v>
      </c>
      <c r="B135" s="18" t="s">
        <v>129</v>
      </c>
      <c r="C135" s="18" t="s">
        <v>132</v>
      </c>
      <c r="D135" s="18" t="s">
        <v>35</v>
      </c>
      <c r="E135" s="19">
        <v>0</v>
      </c>
      <c r="F135" s="19">
        <f>52593.82+17406.87+15008.37-85009.06</f>
        <v>0</v>
      </c>
      <c r="G135" s="12">
        <v>0</v>
      </c>
      <c r="H135" s="26"/>
      <c r="I135" s="26"/>
    </row>
    <row r="136" spans="1:9" s="7" customFormat="1" ht="9.75" customHeight="1">
      <c r="A136" s="25" t="s">
        <v>34</v>
      </c>
      <c r="B136" s="18" t="s">
        <v>129</v>
      </c>
      <c r="C136" s="18" t="s">
        <v>133</v>
      </c>
      <c r="D136" s="18" t="s">
        <v>35</v>
      </c>
      <c r="E136" s="19">
        <v>320375.28</v>
      </c>
      <c r="F136" s="19">
        <f>282066.84+38308.44</f>
        <v>320375.28</v>
      </c>
      <c r="G136" s="12">
        <f t="shared" si="1"/>
        <v>100</v>
      </c>
      <c r="H136" s="26"/>
      <c r="I136" s="26"/>
    </row>
    <row r="137" spans="1:9" s="7" customFormat="1" ht="9.75" customHeight="1">
      <c r="A137" s="24" t="s">
        <v>55</v>
      </c>
      <c r="B137" s="15" t="s">
        <v>129</v>
      </c>
      <c r="C137" s="15" t="s">
        <v>133</v>
      </c>
      <c r="D137" s="15" t="s">
        <v>13</v>
      </c>
      <c r="E137" s="16">
        <f>E138+E139+E140+E141+E142</f>
        <v>1077088.7</v>
      </c>
      <c r="F137" s="16">
        <f>F138+F139+F140+F141+F142</f>
        <v>1064420.4700000002</v>
      </c>
      <c r="G137" s="12">
        <f t="shared" si="1"/>
        <v>98.82384524134366</v>
      </c>
      <c r="H137" s="26"/>
      <c r="I137" s="26"/>
    </row>
    <row r="138" spans="1:9" s="7" customFormat="1" ht="9.75" customHeight="1">
      <c r="A138" s="17" t="s">
        <v>140</v>
      </c>
      <c r="B138" s="18" t="s">
        <v>129</v>
      </c>
      <c r="C138" s="18" t="s">
        <v>133</v>
      </c>
      <c r="D138" s="18" t="s">
        <v>9</v>
      </c>
      <c r="E138" s="19">
        <v>34855.5</v>
      </c>
      <c r="F138" s="19">
        <f>14250+4800+3250+6542.5+5800</f>
        <v>34642.5</v>
      </c>
      <c r="G138" s="12">
        <f t="shared" si="1"/>
        <v>99.38890562465033</v>
      </c>
      <c r="H138" s="26"/>
      <c r="I138" s="26"/>
    </row>
    <row r="139" spans="1:9" s="7" customFormat="1" ht="9.75" customHeight="1">
      <c r="A139" s="17" t="s">
        <v>122</v>
      </c>
      <c r="B139" s="18" t="s">
        <v>129</v>
      </c>
      <c r="C139" s="18" t="s">
        <v>133</v>
      </c>
      <c r="D139" s="18" t="s">
        <v>3</v>
      </c>
      <c r="E139" s="19">
        <v>1038733.2</v>
      </c>
      <c r="F139" s="19">
        <v>1026371.1</v>
      </c>
      <c r="G139" s="12">
        <f t="shared" si="1"/>
        <v>98.80988688914536</v>
      </c>
      <c r="H139" s="26"/>
      <c r="I139" s="26"/>
    </row>
    <row r="140" spans="1:9" s="7" customFormat="1" ht="9.75" customHeight="1">
      <c r="A140" s="17" t="s">
        <v>141</v>
      </c>
      <c r="B140" s="18" t="s">
        <v>129</v>
      </c>
      <c r="C140" s="18" t="s">
        <v>133</v>
      </c>
      <c r="D140" s="18" t="s">
        <v>5</v>
      </c>
      <c r="E140" s="19">
        <f>2500-175.87</f>
        <v>2324.13</v>
      </c>
      <c r="F140" s="19">
        <f>329+324+1578</f>
        <v>2231</v>
      </c>
      <c r="G140" s="12">
        <f aca="true" t="shared" si="3" ref="G140:G182">F140/E140*100</f>
        <v>95.99290917461587</v>
      </c>
      <c r="H140" s="26"/>
      <c r="I140" s="26"/>
    </row>
    <row r="141" spans="1:9" s="7" customFormat="1" ht="9.75" customHeight="1">
      <c r="A141" s="17" t="s">
        <v>37</v>
      </c>
      <c r="B141" s="18" t="s">
        <v>129</v>
      </c>
      <c r="C141" s="18" t="s">
        <v>133</v>
      </c>
      <c r="D141" s="18" t="s">
        <v>10</v>
      </c>
      <c r="E141" s="19">
        <v>0</v>
      </c>
      <c r="F141" s="19">
        <v>0</v>
      </c>
      <c r="G141" s="12">
        <v>0</v>
      </c>
      <c r="H141" s="26"/>
      <c r="I141" s="26"/>
    </row>
    <row r="142" spans="1:9" s="7" customFormat="1" ht="9.75" customHeight="1">
      <c r="A142" s="17" t="s">
        <v>58</v>
      </c>
      <c r="B142" s="18" t="s">
        <v>129</v>
      </c>
      <c r="C142" s="18" t="s">
        <v>133</v>
      </c>
      <c r="D142" s="18" t="s">
        <v>27</v>
      </c>
      <c r="E142" s="19">
        <f>1000+175.87</f>
        <v>1175.87</v>
      </c>
      <c r="F142" s="19">
        <f>443.84+732.03</f>
        <v>1175.87</v>
      </c>
      <c r="G142" s="12">
        <f t="shared" si="3"/>
        <v>100</v>
      </c>
      <c r="H142" s="26"/>
      <c r="I142" s="26"/>
    </row>
    <row r="143" spans="1:9" s="7" customFormat="1" ht="9.75" customHeight="1">
      <c r="A143" s="24" t="s">
        <v>55</v>
      </c>
      <c r="B143" s="15" t="s">
        <v>129</v>
      </c>
      <c r="C143" s="15" t="s">
        <v>134</v>
      </c>
      <c r="D143" s="15" t="s">
        <v>13</v>
      </c>
      <c r="E143" s="16">
        <f>E144+E145</f>
        <v>334700</v>
      </c>
      <c r="F143" s="16">
        <f>F144+F145</f>
        <v>334700</v>
      </c>
      <c r="G143" s="12">
        <f t="shared" si="3"/>
        <v>100</v>
      </c>
      <c r="H143" s="26"/>
      <c r="I143" s="26"/>
    </row>
    <row r="144" spans="1:9" s="7" customFormat="1" ht="9.75" customHeight="1">
      <c r="A144" s="17" t="s">
        <v>57</v>
      </c>
      <c r="B144" s="18" t="s">
        <v>129</v>
      </c>
      <c r="C144" s="18" t="s">
        <v>134</v>
      </c>
      <c r="D144" s="18" t="s">
        <v>3</v>
      </c>
      <c r="E144" s="19">
        <v>178200</v>
      </c>
      <c r="F144" s="19">
        <v>178200</v>
      </c>
      <c r="G144" s="12">
        <f t="shared" si="3"/>
        <v>100</v>
      </c>
      <c r="H144" s="26"/>
      <c r="I144" s="26"/>
    </row>
    <row r="145" spans="1:9" s="7" customFormat="1" ht="9.75" customHeight="1">
      <c r="A145" s="17" t="s">
        <v>57</v>
      </c>
      <c r="B145" s="18" t="s">
        <v>129</v>
      </c>
      <c r="C145" s="18" t="s">
        <v>142</v>
      </c>
      <c r="D145" s="18" t="s">
        <v>3</v>
      </c>
      <c r="E145" s="19">
        <f>118000+28500+10000</f>
        <v>156500</v>
      </c>
      <c r="F145" s="19">
        <f>118000+28500+10000</f>
        <v>156500</v>
      </c>
      <c r="G145" s="12">
        <f t="shared" si="3"/>
        <v>100</v>
      </c>
      <c r="H145" s="26"/>
      <c r="I145" s="26"/>
    </row>
    <row r="146" spans="1:9" s="7" customFormat="1" ht="9.75" customHeight="1">
      <c r="A146" s="22" t="s">
        <v>143</v>
      </c>
      <c r="B146" s="11" t="s">
        <v>129</v>
      </c>
      <c r="C146" s="11" t="s">
        <v>46</v>
      </c>
      <c r="D146" s="11" t="s">
        <v>13</v>
      </c>
      <c r="E146" s="13">
        <f>E147+E148+E149+E161+E163+E151+E152+E153+E150</f>
        <v>1020633.7300000001</v>
      </c>
      <c r="F146" s="13">
        <f>F147+F148+F149+F161+F163+F151+F152+F153+F150</f>
        <v>981257.7300000001</v>
      </c>
      <c r="G146" s="12">
        <f t="shared" si="3"/>
        <v>96.14200483066536</v>
      </c>
      <c r="H146" s="26"/>
      <c r="I146" s="26"/>
    </row>
    <row r="147" spans="1:9" s="7" customFormat="1" ht="9.75" customHeight="1">
      <c r="A147" s="24" t="s">
        <v>49</v>
      </c>
      <c r="B147" s="15" t="s">
        <v>129</v>
      </c>
      <c r="C147" s="15" t="s">
        <v>144</v>
      </c>
      <c r="D147" s="15" t="s">
        <v>13</v>
      </c>
      <c r="E147" s="16">
        <f>E154+E158</f>
        <v>0</v>
      </c>
      <c r="F147" s="16">
        <f>F154+F158</f>
        <v>0</v>
      </c>
      <c r="G147" s="12">
        <v>0</v>
      </c>
      <c r="H147" s="26"/>
      <c r="I147" s="26"/>
    </row>
    <row r="148" spans="1:9" s="7" customFormat="1" ht="9.75" customHeight="1">
      <c r="A148" s="24" t="s">
        <v>49</v>
      </c>
      <c r="B148" s="15" t="s">
        <v>129</v>
      </c>
      <c r="C148" s="15" t="s">
        <v>145</v>
      </c>
      <c r="D148" s="15" t="s">
        <v>13</v>
      </c>
      <c r="E148" s="16">
        <f>E155+E159</f>
        <v>0</v>
      </c>
      <c r="F148" s="16">
        <f>F155+F159</f>
        <v>0</v>
      </c>
      <c r="G148" s="12">
        <v>0</v>
      </c>
      <c r="H148" s="26"/>
      <c r="I148" s="26"/>
    </row>
    <row r="149" spans="1:9" s="7" customFormat="1" ht="9.75" customHeight="1">
      <c r="A149" s="24" t="s">
        <v>49</v>
      </c>
      <c r="B149" s="15" t="s">
        <v>129</v>
      </c>
      <c r="C149" s="15" t="s">
        <v>146</v>
      </c>
      <c r="D149" s="15" t="s">
        <v>13</v>
      </c>
      <c r="E149" s="16">
        <f>E156+E157+E160</f>
        <v>134603.18</v>
      </c>
      <c r="F149" s="16">
        <f>F156+F157+F160</f>
        <v>105227.18</v>
      </c>
      <c r="G149" s="12">
        <f t="shared" si="3"/>
        <v>78.17584993162866</v>
      </c>
      <c r="H149" s="26"/>
      <c r="I149" s="26"/>
    </row>
    <row r="150" spans="1:9" s="7" customFormat="1" ht="9.75" customHeight="1">
      <c r="A150" s="25" t="s">
        <v>72</v>
      </c>
      <c r="B150" s="18" t="s">
        <v>129</v>
      </c>
      <c r="C150" s="18" t="s">
        <v>147</v>
      </c>
      <c r="D150" s="18" t="s">
        <v>4</v>
      </c>
      <c r="E150" s="19">
        <f>199674+17622.88+52868.64</f>
        <v>270165.52</v>
      </c>
      <c r="F150" s="19">
        <f>217296.88+52868.64</f>
        <v>270165.52</v>
      </c>
      <c r="G150" s="12">
        <f t="shared" si="3"/>
        <v>100</v>
      </c>
      <c r="H150" s="26"/>
      <c r="I150" s="26"/>
    </row>
    <row r="151" spans="1:9" s="7" customFormat="1" ht="9.75" customHeight="1">
      <c r="A151" s="25" t="s">
        <v>72</v>
      </c>
      <c r="B151" s="18" t="s">
        <v>129</v>
      </c>
      <c r="C151" s="18" t="s">
        <v>148</v>
      </c>
      <c r="D151" s="18" t="s">
        <v>4</v>
      </c>
      <c r="E151" s="19">
        <f>433280-48145.34</f>
        <v>385134.66000000003</v>
      </c>
      <c r="F151" s="19">
        <f>279567.76+105566.9</f>
        <v>385134.66000000003</v>
      </c>
      <c r="G151" s="12">
        <f t="shared" si="3"/>
        <v>100</v>
      </c>
      <c r="H151" s="26"/>
      <c r="I151" s="26"/>
    </row>
    <row r="152" spans="1:9" s="7" customFormat="1" ht="9.75" customHeight="1">
      <c r="A152" s="25" t="s">
        <v>34</v>
      </c>
      <c r="B152" s="18" t="s">
        <v>129</v>
      </c>
      <c r="C152" s="18" t="s">
        <v>147</v>
      </c>
      <c r="D152" s="18" t="s">
        <v>35</v>
      </c>
      <c r="E152" s="19">
        <f>41571.84+41247.82+5322.11+14975.78</f>
        <v>103117.55</v>
      </c>
      <c r="F152" s="19">
        <f>88141.77+14975.78</f>
        <v>103117.55</v>
      </c>
      <c r="G152" s="12">
        <f t="shared" si="3"/>
        <v>100</v>
      </c>
      <c r="H152" s="26"/>
      <c r="I152" s="26"/>
    </row>
    <row r="153" spans="1:9" s="7" customFormat="1" ht="9.75" customHeight="1">
      <c r="A153" s="25" t="s">
        <v>34</v>
      </c>
      <c r="B153" s="18" t="s">
        <v>129</v>
      </c>
      <c r="C153" s="18" t="s">
        <v>148</v>
      </c>
      <c r="D153" s="18" t="s">
        <v>35</v>
      </c>
      <c r="E153" s="19">
        <f>130851-13549.77</f>
        <v>117301.23</v>
      </c>
      <c r="F153" s="19">
        <f>84429.47+32871.76</f>
        <v>117301.23000000001</v>
      </c>
      <c r="G153" s="12">
        <f t="shared" si="3"/>
        <v>100.00000000000003</v>
      </c>
      <c r="H153" s="26"/>
      <c r="I153" s="26"/>
    </row>
    <row r="154" spans="1:9" s="7" customFormat="1" ht="9.75" customHeight="1">
      <c r="A154" s="25" t="s">
        <v>72</v>
      </c>
      <c r="B154" s="18" t="s">
        <v>129</v>
      </c>
      <c r="C154" s="18" t="s">
        <v>144</v>
      </c>
      <c r="D154" s="18" t="s">
        <v>4</v>
      </c>
      <c r="E154" s="19">
        <v>0</v>
      </c>
      <c r="F154" s="19">
        <f>135664.36+22998.32+22997.32-181660</f>
        <v>0</v>
      </c>
      <c r="G154" s="12">
        <v>0</v>
      </c>
      <c r="H154" s="26"/>
      <c r="I154" s="26"/>
    </row>
    <row r="155" spans="1:9" s="7" customFormat="1" ht="9.75" customHeight="1">
      <c r="A155" s="25" t="s">
        <v>72</v>
      </c>
      <c r="B155" s="18" t="s">
        <v>129</v>
      </c>
      <c r="C155" s="18" t="s">
        <v>145</v>
      </c>
      <c r="D155" s="29" t="s">
        <v>4</v>
      </c>
      <c r="E155" s="19">
        <v>0</v>
      </c>
      <c r="F155" s="19">
        <f>133483.06+47866.9-181349.96</f>
        <v>0</v>
      </c>
      <c r="G155" s="12">
        <v>0</v>
      </c>
      <c r="H155" s="26"/>
      <c r="I155" s="26"/>
    </row>
    <row r="156" spans="1:9" s="7" customFormat="1" ht="9.75" customHeight="1">
      <c r="A156" s="25" t="s">
        <v>72</v>
      </c>
      <c r="B156" s="18" t="s">
        <v>129</v>
      </c>
      <c r="C156" s="18" t="s">
        <v>146</v>
      </c>
      <c r="D156" s="18" t="s">
        <v>4</v>
      </c>
      <c r="E156" s="48">
        <v>98563.18</v>
      </c>
      <c r="F156" s="19">
        <f>20000+78563.18</f>
        <v>98563.18</v>
      </c>
      <c r="G156" s="12">
        <f t="shared" si="3"/>
        <v>100</v>
      </c>
      <c r="H156" s="26"/>
      <c r="I156" s="26"/>
    </row>
    <row r="157" spans="1:9" s="7" customFormat="1" ht="9.75" customHeight="1">
      <c r="A157" s="25" t="s">
        <v>82</v>
      </c>
      <c r="B157" s="18" t="s">
        <v>129</v>
      </c>
      <c r="C157" s="18" t="s">
        <v>146</v>
      </c>
      <c r="D157" s="18" t="s">
        <v>8</v>
      </c>
      <c r="E157" s="19">
        <f>30000</f>
        <v>30000</v>
      </c>
      <c r="F157" s="19">
        <f>416+208</f>
        <v>624</v>
      </c>
      <c r="G157" s="12">
        <f t="shared" si="3"/>
        <v>2.08</v>
      </c>
      <c r="H157" s="26"/>
      <c r="I157" s="26"/>
    </row>
    <row r="158" spans="1:9" s="7" customFormat="1" ht="9.75" customHeight="1">
      <c r="A158" s="25" t="s">
        <v>34</v>
      </c>
      <c r="B158" s="18" t="s">
        <v>129</v>
      </c>
      <c r="C158" s="18" t="s">
        <v>144</v>
      </c>
      <c r="D158" s="18" t="s">
        <v>35</v>
      </c>
      <c r="E158" s="19">
        <v>0</v>
      </c>
      <c r="F158" s="19">
        <f>15743.85+7983.17+17243.65-40970.67</f>
        <v>0</v>
      </c>
      <c r="G158" s="12">
        <v>0</v>
      </c>
      <c r="H158" s="26"/>
      <c r="I158" s="26"/>
    </row>
    <row r="159" spans="1:9" s="7" customFormat="1" ht="9.75" customHeight="1">
      <c r="A159" s="25" t="s">
        <v>34</v>
      </c>
      <c r="B159" s="18" t="s">
        <v>129</v>
      </c>
      <c r="C159" s="18" t="s">
        <v>145</v>
      </c>
      <c r="D159" s="18" t="s">
        <v>35</v>
      </c>
      <c r="E159" s="19">
        <v>0</v>
      </c>
      <c r="F159" s="19">
        <f>31927.51+8384.37+7227.9-47539.78</f>
        <v>0</v>
      </c>
      <c r="G159" s="12">
        <v>0</v>
      </c>
      <c r="H159" s="26"/>
      <c r="I159" s="26"/>
    </row>
    <row r="160" spans="1:9" s="7" customFormat="1" ht="9.75" customHeight="1">
      <c r="A160" s="25" t="s">
        <v>34</v>
      </c>
      <c r="B160" s="18" t="s">
        <v>129</v>
      </c>
      <c r="C160" s="18" t="s">
        <v>146</v>
      </c>
      <c r="D160" s="18" t="s">
        <v>35</v>
      </c>
      <c r="E160" s="48">
        <v>6040</v>
      </c>
      <c r="F160" s="19">
        <f>6040</f>
        <v>6040</v>
      </c>
      <c r="G160" s="12">
        <f t="shared" si="3"/>
        <v>100</v>
      </c>
      <c r="H160" s="26"/>
      <c r="I160" s="26"/>
    </row>
    <row r="161" spans="1:9" s="7" customFormat="1" ht="9.75" customHeight="1">
      <c r="A161" s="46" t="s">
        <v>55</v>
      </c>
      <c r="B161" s="15" t="s">
        <v>129</v>
      </c>
      <c r="C161" s="15" t="s">
        <v>146</v>
      </c>
      <c r="D161" s="15" t="s">
        <v>13</v>
      </c>
      <c r="E161" s="47">
        <f>E162</f>
        <v>10000</v>
      </c>
      <c r="F161" s="47">
        <f>F162</f>
        <v>0</v>
      </c>
      <c r="G161" s="12">
        <f t="shared" si="3"/>
        <v>0</v>
      </c>
      <c r="H161" s="26"/>
      <c r="I161" s="26"/>
    </row>
    <row r="162" spans="1:9" s="7" customFormat="1" ht="9.75" customHeight="1">
      <c r="A162" s="17" t="s">
        <v>98</v>
      </c>
      <c r="B162" s="18" t="s">
        <v>129</v>
      </c>
      <c r="C162" s="18" t="s">
        <v>146</v>
      </c>
      <c r="D162" s="18" t="s">
        <v>3</v>
      </c>
      <c r="E162" s="19">
        <v>10000</v>
      </c>
      <c r="F162" s="19">
        <v>0</v>
      </c>
      <c r="G162" s="12">
        <f t="shared" si="3"/>
        <v>0</v>
      </c>
      <c r="H162" s="26"/>
      <c r="I162" s="26"/>
    </row>
    <row r="163" spans="1:9" s="7" customFormat="1" ht="9.75" customHeight="1">
      <c r="A163" s="46" t="s">
        <v>149</v>
      </c>
      <c r="B163" s="15" t="s">
        <v>129</v>
      </c>
      <c r="C163" s="15" t="s">
        <v>46</v>
      </c>
      <c r="D163" s="15" t="s">
        <v>13</v>
      </c>
      <c r="E163" s="47">
        <f>E166+E164+E167+E165</f>
        <v>311.59</v>
      </c>
      <c r="F163" s="47">
        <f>F166+F164+F167+F165</f>
        <v>311.59</v>
      </c>
      <c r="G163" s="12">
        <f t="shared" si="3"/>
        <v>100</v>
      </c>
      <c r="H163" s="26"/>
      <c r="I163" s="26"/>
    </row>
    <row r="164" spans="1:9" s="7" customFormat="1" ht="9.75" customHeight="1">
      <c r="A164" s="17" t="s">
        <v>150</v>
      </c>
      <c r="B164" s="18" t="s">
        <v>129</v>
      </c>
      <c r="C164" s="18" t="s">
        <v>151</v>
      </c>
      <c r="D164" s="18" t="s">
        <v>3</v>
      </c>
      <c r="E164" s="48">
        <f>300-300</f>
        <v>0</v>
      </c>
      <c r="F164" s="48">
        <v>0</v>
      </c>
      <c r="G164" s="12">
        <v>0</v>
      </c>
      <c r="H164" s="26"/>
      <c r="I164" s="26"/>
    </row>
    <row r="165" spans="1:9" s="7" customFormat="1" ht="9.75" customHeight="1">
      <c r="A165" s="17" t="s">
        <v>150</v>
      </c>
      <c r="B165" s="18" t="s">
        <v>129</v>
      </c>
      <c r="C165" s="18" t="s">
        <v>152</v>
      </c>
      <c r="D165" s="18" t="s">
        <v>3</v>
      </c>
      <c r="E165" s="48">
        <f>296.01+15.58</f>
        <v>311.59</v>
      </c>
      <c r="F165" s="48">
        <v>311.59</v>
      </c>
      <c r="G165" s="12">
        <f t="shared" si="3"/>
        <v>100</v>
      </c>
      <c r="H165" s="26"/>
      <c r="I165" s="26"/>
    </row>
    <row r="166" spans="1:9" s="7" customFormat="1" ht="9.75" customHeight="1">
      <c r="A166" s="17" t="s">
        <v>150</v>
      </c>
      <c r="B166" s="18" t="s">
        <v>129</v>
      </c>
      <c r="C166" s="18" t="s">
        <v>153</v>
      </c>
      <c r="D166" s="18" t="s">
        <v>3</v>
      </c>
      <c r="E166" s="19">
        <v>0</v>
      </c>
      <c r="F166" s="19">
        <v>0</v>
      </c>
      <c r="G166" s="12">
        <v>0</v>
      </c>
      <c r="H166" s="26"/>
      <c r="I166" s="26"/>
    </row>
    <row r="167" spans="1:9" s="7" customFormat="1" ht="9.75" customHeight="1">
      <c r="A167" s="17" t="s">
        <v>150</v>
      </c>
      <c r="B167" s="18" t="s">
        <v>129</v>
      </c>
      <c r="C167" s="18" t="s">
        <v>154</v>
      </c>
      <c r="D167" s="18" t="s">
        <v>3</v>
      </c>
      <c r="E167" s="19">
        <v>0</v>
      </c>
      <c r="F167" s="19">
        <v>0</v>
      </c>
      <c r="G167" s="12">
        <v>0</v>
      </c>
      <c r="H167" s="26"/>
      <c r="I167" s="26"/>
    </row>
    <row r="168" spans="1:9" s="7" customFormat="1" ht="3" customHeight="1">
      <c r="A168" s="20"/>
      <c r="B168" s="21"/>
      <c r="C168" s="21"/>
      <c r="D168" s="21"/>
      <c r="E168" s="21"/>
      <c r="F168" s="21"/>
      <c r="G168" s="12" t="e">
        <f t="shared" si="3"/>
        <v>#DIV/0!</v>
      </c>
      <c r="H168" s="26"/>
      <c r="I168" s="26"/>
    </row>
    <row r="169" spans="1:9" s="7" customFormat="1" ht="9.75" customHeight="1">
      <c r="A169" s="22" t="s">
        <v>155</v>
      </c>
      <c r="B169" s="11" t="s">
        <v>156</v>
      </c>
      <c r="C169" s="11" t="s">
        <v>46</v>
      </c>
      <c r="D169" s="11" t="s">
        <v>13</v>
      </c>
      <c r="E169" s="13">
        <f>E170</f>
        <v>23109.079999999994</v>
      </c>
      <c r="F169" s="13">
        <f>F170</f>
        <v>23109.08</v>
      </c>
      <c r="G169" s="12">
        <f t="shared" si="3"/>
        <v>100.00000000000003</v>
      </c>
      <c r="H169" s="26"/>
      <c r="I169" s="26"/>
    </row>
    <row r="170" spans="1:9" s="7" customFormat="1" ht="9.75" customHeight="1">
      <c r="A170" s="24" t="s">
        <v>31</v>
      </c>
      <c r="B170" s="15" t="s">
        <v>156</v>
      </c>
      <c r="C170" s="15" t="s">
        <v>157</v>
      </c>
      <c r="D170" s="15" t="s">
        <v>13</v>
      </c>
      <c r="E170" s="16">
        <f>E171</f>
        <v>23109.079999999994</v>
      </c>
      <c r="F170" s="16">
        <f>F171</f>
        <v>23109.08</v>
      </c>
      <c r="G170" s="12">
        <f t="shared" si="3"/>
        <v>100.00000000000003</v>
      </c>
      <c r="H170" s="26"/>
      <c r="I170" s="26"/>
    </row>
    <row r="171" spans="1:9" s="7" customFormat="1" ht="9.75" customHeight="1">
      <c r="A171" s="25" t="s">
        <v>30</v>
      </c>
      <c r="B171" s="18" t="s">
        <v>156</v>
      </c>
      <c r="C171" s="18" t="s">
        <v>157</v>
      </c>
      <c r="D171" s="18" t="s">
        <v>8</v>
      </c>
      <c r="E171" s="19">
        <f>100000-98-12162.82-16378.51-24085.91-21139.97-4860.63+1834.92</f>
        <v>23109.079999999994</v>
      </c>
      <c r="F171" s="19">
        <f>19439.24+3669.84</f>
        <v>23109.08</v>
      </c>
      <c r="G171" s="12">
        <f t="shared" si="3"/>
        <v>100.00000000000003</v>
      </c>
      <c r="H171" s="26"/>
      <c r="I171" s="26"/>
    </row>
    <row r="172" spans="1:9" s="7" customFormat="1" ht="9.75" customHeight="1">
      <c r="A172" s="22" t="s">
        <v>15</v>
      </c>
      <c r="B172" s="11" t="s">
        <v>158</v>
      </c>
      <c r="C172" s="11" t="s">
        <v>159</v>
      </c>
      <c r="D172" s="11"/>
      <c r="E172" s="13">
        <f>E173+E175</f>
        <v>10000</v>
      </c>
      <c r="F172" s="13">
        <f>F173+F175</f>
        <v>0</v>
      </c>
      <c r="G172" s="12">
        <f t="shared" si="3"/>
        <v>0</v>
      </c>
      <c r="H172" s="26"/>
      <c r="I172" s="26"/>
    </row>
    <row r="173" spans="1:9" s="7" customFormat="1" ht="9.75" customHeight="1">
      <c r="A173" s="52" t="s">
        <v>16</v>
      </c>
      <c r="B173" s="18" t="s">
        <v>160</v>
      </c>
      <c r="C173" s="18" t="s">
        <v>161</v>
      </c>
      <c r="D173" s="18" t="s">
        <v>3</v>
      </c>
      <c r="E173" s="19">
        <f>E174</f>
        <v>10000</v>
      </c>
      <c r="F173" s="19">
        <f>F174</f>
        <v>0</v>
      </c>
      <c r="G173" s="12">
        <f t="shared" si="3"/>
        <v>0</v>
      </c>
      <c r="H173" s="26"/>
      <c r="I173" s="26"/>
    </row>
    <row r="174" spans="1:9" s="7" customFormat="1" ht="9.75" customHeight="1">
      <c r="A174" s="53" t="s">
        <v>12</v>
      </c>
      <c r="B174" s="18" t="s">
        <v>160</v>
      </c>
      <c r="C174" s="18" t="s">
        <v>161</v>
      </c>
      <c r="D174" s="18" t="s">
        <v>3</v>
      </c>
      <c r="E174" s="19">
        <v>10000</v>
      </c>
      <c r="F174" s="19">
        <v>0</v>
      </c>
      <c r="G174" s="12">
        <f t="shared" si="3"/>
        <v>0</v>
      </c>
      <c r="H174" s="26"/>
      <c r="I174" s="26"/>
    </row>
    <row r="175" spans="1:9" s="50" customFormat="1" ht="9.75" customHeight="1">
      <c r="A175" s="10" t="s">
        <v>32</v>
      </c>
      <c r="B175" s="11" t="s">
        <v>162</v>
      </c>
      <c r="C175" s="11" t="s">
        <v>46</v>
      </c>
      <c r="D175" s="11" t="s">
        <v>13</v>
      </c>
      <c r="E175" s="13">
        <f>E176</f>
        <v>0</v>
      </c>
      <c r="F175" s="13">
        <f>F176</f>
        <v>0</v>
      </c>
      <c r="G175" s="12">
        <v>0</v>
      </c>
      <c r="H175" s="49"/>
      <c r="I175" s="49"/>
    </row>
    <row r="176" spans="1:9" s="50" customFormat="1" ht="9.75" customHeight="1">
      <c r="A176" s="14" t="s">
        <v>32</v>
      </c>
      <c r="B176" s="15" t="s">
        <v>162</v>
      </c>
      <c r="C176" s="15" t="s">
        <v>163</v>
      </c>
      <c r="D176" s="15" t="s">
        <v>3</v>
      </c>
      <c r="E176" s="16">
        <f>E177</f>
        <v>0</v>
      </c>
      <c r="F176" s="16">
        <f>F177</f>
        <v>0</v>
      </c>
      <c r="G176" s="12">
        <v>0</v>
      </c>
      <c r="H176" s="49"/>
      <c r="I176" s="49"/>
    </row>
    <row r="177" spans="1:9" s="50" customFormat="1" ht="9.75" customHeight="1">
      <c r="A177" s="17" t="s">
        <v>22</v>
      </c>
      <c r="B177" s="18" t="s">
        <v>162</v>
      </c>
      <c r="C177" s="18" t="s">
        <v>163</v>
      </c>
      <c r="D177" s="18" t="s">
        <v>3</v>
      </c>
      <c r="E177" s="19">
        <v>0</v>
      </c>
      <c r="F177" s="19">
        <v>0</v>
      </c>
      <c r="G177" s="12">
        <v>0</v>
      </c>
      <c r="H177" s="49"/>
      <c r="I177" s="49"/>
    </row>
    <row r="178" spans="1:9" s="7" customFormat="1" ht="3" customHeight="1">
      <c r="A178" s="30"/>
      <c r="B178" s="31"/>
      <c r="C178" s="31"/>
      <c r="D178" s="31"/>
      <c r="E178" s="31"/>
      <c r="F178" s="31"/>
      <c r="G178" s="12" t="e">
        <f t="shared" si="3"/>
        <v>#DIV/0!</v>
      </c>
      <c r="H178" s="26"/>
      <c r="I178" s="26"/>
    </row>
    <row r="179" spans="1:9" s="7" customFormat="1" ht="9.75" customHeight="1">
      <c r="A179" s="22" t="s">
        <v>164</v>
      </c>
      <c r="B179" s="11" t="s">
        <v>165</v>
      </c>
      <c r="C179" s="11" t="s">
        <v>46</v>
      </c>
      <c r="D179" s="11" t="s">
        <v>13</v>
      </c>
      <c r="E179" s="13">
        <f>E180</f>
        <v>11680</v>
      </c>
      <c r="F179" s="13">
        <f>F180</f>
        <v>0</v>
      </c>
      <c r="G179" s="12">
        <f t="shared" si="3"/>
        <v>0</v>
      </c>
      <c r="H179" s="26"/>
      <c r="I179" s="26"/>
    </row>
    <row r="180" spans="1:9" s="7" customFormat="1" ht="9.75" customHeight="1">
      <c r="A180" s="24" t="s">
        <v>166</v>
      </c>
      <c r="B180" s="15" t="s">
        <v>165</v>
      </c>
      <c r="C180" s="15" t="s">
        <v>167</v>
      </c>
      <c r="D180" s="15" t="s">
        <v>13</v>
      </c>
      <c r="E180" s="16">
        <f>E181</f>
        <v>11680</v>
      </c>
      <c r="F180" s="16">
        <f>F181</f>
        <v>0</v>
      </c>
      <c r="G180" s="12">
        <f t="shared" si="3"/>
        <v>0</v>
      </c>
      <c r="H180" s="26"/>
      <c r="I180" s="26"/>
    </row>
    <row r="181" spans="1:9" s="7" customFormat="1" ht="9.75" customHeight="1">
      <c r="A181" s="25" t="s">
        <v>168</v>
      </c>
      <c r="B181" s="18" t="s">
        <v>165</v>
      </c>
      <c r="C181" s="18" t="s">
        <v>167</v>
      </c>
      <c r="D181" s="18" t="s">
        <v>2</v>
      </c>
      <c r="E181" s="19">
        <v>11680</v>
      </c>
      <c r="F181" s="19">
        <v>0</v>
      </c>
      <c r="G181" s="12">
        <f t="shared" si="3"/>
        <v>0</v>
      </c>
      <c r="H181" s="26"/>
      <c r="I181" s="26"/>
    </row>
    <row r="182" spans="1:11" s="7" customFormat="1" ht="21" customHeight="1">
      <c r="A182" s="22" t="s">
        <v>172</v>
      </c>
      <c r="B182" s="11" t="s">
        <v>169</v>
      </c>
      <c r="C182" s="11" t="s">
        <v>46</v>
      </c>
      <c r="D182" s="11" t="s">
        <v>13</v>
      </c>
      <c r="E182" s="13">
        <f>E12+E17+E27+E37+E48+E71+E80+E84+E100+E105+E111+E115+E119+E169+E179+E113+E175+E173+E107</f>
        <v>74569913.07</v>
      </c>
      <c r="F182" s="13">
        <f>F11+F37+F48+F71+F95+F119+F169</f>
        <v>67581296.74000001</v>
      </c>
      <c r="G182" s="12">
        <f t="shared" si="3"/>
        <v>90.62810181441453</v>
      </c>
      <c r="H182" s="26"/>
      <c r="I182" s="26"/>
      <c r="J182" s="26"/>
      <c r="K182" s="26"/>
    </row>
    <row r="184" spans="1:5" ht="12.75">
      <c r="A184" s="1" t="s">
        <v>21</v>
      </c>
      <c r="E184" s="1" t="s">
        <v>36</v>
      </c>
    </row>
  </sheetData>
  <sheetProtection/>
  <mergeCells count="7">
    <mergeCell ref="G5:J5"/>
    <mergeCell ref="A8:H9"/>
    <mergeCell ref="G6:J6"/>
    <mergeCell ref="G1:I1"/>
    <mergeCell ref="G2:J2"/>
    <mergeCell ref="G3:J3"/>
    <mergeCell ref="G4:J4"/>
  </mergeCells>
  <printOptions/>
  <pageMargins left="0.16" right="0.12" top="0.18" bottom="0.16" header="0.28" footer="0.1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Агашков</cp:lastModifiedBy>
  <cp:lastPrinted>2020-05-27T02:30:43Z</cp:lastPrinted>
  <dcterms:created xsi:type="dcterms:W3CDTF">2012-07-23T09:33:14Z</dcterms:created>
  <dcterms:modified xsi:type="dcterms:W3CDTF">2020-05-27T02:30:48Z</dcterms:modified>
  <cp:category/>
  <cp:version/>
  <cp:contentType/>
  <cp:contentStatus/>
</cp:coreProperties>
</file>