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Агашков</author>
  </authors>
  <commentList>
    <comment ref="B4" authorId="0">
      <text>
        <r>
          <rPr>
            <b/>
            <sz val="9"/>
            <rFont val="Tahoma"/>
            <family val="0"/>
          </rPr>
          <t>Агашков: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<sst xmlns="http://schemas.openxmlformats.org/spreadsheetml/2006/main" count="765" uniqueCount="167">
  <si>
    <t>Другие общегосударственные вопросы</t>
  </si>
  <si>
    <t>Мобилизационная и вневойсковая подготовка</t>
  </si>
  <si>
    <t>Благоустройство</t>
  </si>
  <si>
    <t xml:space="preserve">Наименование </t>
  </si>
  <si>
    <t>03</t>
  </si>
  <si>
    <t>04</t>
  </si>
  <si>
    <t>01</t>
  </si>
  <si>
    <t>540</t>
  </si>
  <si>
    <t>244</t>
  </si>
  <si>
    <t>111</t>
  </si>
  <si>
    <t>851</t>
  </si>
  <si>
    <t>121</t>
  </si>
  <si>
    <t>122</t>
  </si>
  <si>
    <t>Коммунальное хозяйство</t>
  </si>
  <si>
    <t>112</t>
  </si>
  <si>
    <t>242</t>
  </si>
  <si>
    <t>852</t>
  </si>
  <si>
    <t>№ п/п</t>
  </si>
  <si>
    <t>Ведомство</t>
  </si>
  <si>
    <t>Раздел</t>
  </si>
  <si>
    <t>Подраздел</t>
  </si>
  <si>
    <t>Целевая статья</t>
  </si>
  <si>
    <t>Вид расхода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</si>
  <si>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</si>
  <si>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</si>
  <si>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налога на имущество организаций и земельного налога</t>
  </si>
  <si>
    <t>11</t>
  </si>
  <si>
    <t>09</t>
  </si>
  <si>
    <t>05</t>
  </si>
  <si>
    <t>10</t>
  </si>
  <si>
    <t>14</t>
  </si>
  <si>
    <t>13</t>
  </si>
  <si>
    <t>08</t>
  </si>
  <si>
    <t>% исполнения</t>
  </si>
  <si>
    <t>К решению  Совета депутатов</t>
  </si>
  <si>
    <t xml:space="preserve">МО ГП "Северомуйское" </t>
  </si>
  <si>
    <t xml:space="preserve">"Об исполнении бюджета МО ГП </t>
  </si>
  <si>
    <t>Приложение № 4</t>
  </si>
  <si>
    <t>Ведущий специалист по финансово-бюджетным вопросам</t>
  </si>
  <si>
    <t>(тыс. руб.)</t>
  </si>
  <si>
    <t>Прочая закупка товаров, работ и услуг для обеспечения государственных (муниципальных) нужд</t>
  </si>
  <si>
    <t xml:space="preserve">Фонд оплаты труда государственных (муниципальных) органов </t>
  </si>
  <si>
    <t>831</t>
  </si>
  <si>
    <t>99 9 01 81010</t>
  </si>
  <si>
    <t>99 9 02 81030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</si>
  <si>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</si>
  <si>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</si>
  <si>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99 9 01 81020</t>
  </si>
  <si>
    <t>Уплата прочих налогов, сборов</t>
  </si>
  <si>
    <t>Уплата иных платежей</t>
  </si>
  <si>
    <t>853</t>
  </si>
  <si>
    <t>99 9 09 82420</t>
  </si>
  <si>
    <t>99 9 10 82420</t>
  </si>
  <si>
    <t>02 1 01 82910</t>
  </si>
  <si>
    <t>99 9 03 82900</t>
  </si>
  <si>
    <t>99 9 13 82600</t>
  </si>
  <si>
    <t>99 9 14 63010</t>
  </si>
  <si>
    <t>99 9 04 83590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</si>
  <si>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</si>
  <si>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</si>
  <si>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Уплата прочих налогов, сборов </t>
  </si>
  <si>
    <t>99 9 05 51180</t>
  </si>
  <si>
    <t>99 9 07 82420</t>
  </si>
  <si>
    <t>12</t>
  </si>
  <si>
    <t>99 9 08 62030</t>
  </si>
  <si>
    <t>99 9 11 83590</t>
  </si>
  <si>
    <t>01 1 01 83110</t>
  </si>
  <si>
    <t>01 1 01 72160</t>
  </si>
  <si>
    <t>01 1 01 72340</t>
  </si>
  <si>
    <t>01 2 02 72160</t>
  </si>
  <si>
    <t>01 2 02 83120</t>
  </si>
  <si>
    <t>01 2 02 72340</t>
  </si>
  <si>
    <t>Социальное обеспечение населения</t>
  </si>
  <si>
    <t>Иные выплаты персоналу учреждений, за исключением фонда оплаты труда</t>
  </si>
  <si>
    <t>99 9 10 83590</t>
  </si>
  <si>
    <t>99 9 11 74030</t>
  </si>
  <si>
    <t>350</t>
  </si>
  <si>
    <t>99 9 12 73180</t>
  </si>
  <si>
    <t>Утверждено на 2017 г.</t>
  </si>
  <si>
    <t>Специальные расходы</t>
  </si>
  <si>
    <t>Расходы</t>
  </si>
  <si>
    <t>Оплата работ, услуг</t>
  </si>
  <si>
    <t>Жилищное хозяйство</t>
  </si>
  <si>
    <t>Мероприятия по сносу ветхого и аварийного жилья</t>
  </si>
  <si>
    <t>99 9 09 29200</t>
  </si>
  <si>
    <t>Мероприятия, направленные на создание маневренного жилья</t>
  </si>
  <si>
    <t>99 9 09 62010</t>
  </si>
  <si>
    <t>Профессиональная подготовка, переподготовка и повышение квалификации</t>
  </si>
  <si>
    <t>07</t>
  </si>
  <si>
    <t xml:space="preserve">Прочая закупка товаров, работ и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</si>
  <si>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 (Увеличение стоимости основных средств)</t>
  </si>
  <si>
    <t>01 2 02 80300</t>
  </si>
  <si>
    <t>01 2 02 R5190</t>
  </si>
  <si>
    <t>99 9 04 72160</t>
  </si>
  <si>
    <t>Ведомственная структура расходов  бюджета муниципального образования городского поселения "Северомуйское за 2017 год</t>
  </si>
  <si>
    <t>"Северомуйское" за 2017 год"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</si>
  <si>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</si>
  <si>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</si>
  <si>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Фонд оплаты труда государственных (муниципальных) органов</t>
  </si>
  <si>
    <t xml:space="preserve">Иные выплаты персоналу государственных (муниципальных органов, за исключением фонда оплаты труда </t>
  </si>
  <si>
    <t xml:space="preserve">Закупка товаров, работ, услуг в сфере информационно-коммуникационных технологий </t>
  </si>
  <si>
    <t>Функционирование высших исполнительных органов государственной власти субъектов РФ, местных администраций</t>
  </si>
  <si>
    <t xml:space="preserve">Иные выплаты персоналу государственных (муниципальных) органов, за исключением фонда оплаты труда </t>
  </si>
  <si>
    <t>Вспомогательная деятельность в области государственного управления</t>
  </si>
  <si>
    <t xml:space="preserve"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</t>
  </si>
  <si>
    <t>Исполнение судебных актов на оплату кредиторской задолженности по договорам на поставку товаров, выполнение работ и оказание услуг для обеспечения муниципальных нужд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</si>
  <si>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</si>
  <si>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 (оплата решений налоговых органов)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</si>
  <si>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</si>
  <si>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</si>
  <si>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</si>
  <si>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</si>
  <si>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</si>
  <si>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Внесение изменений в генеральный план землепользования и застройки территорий</t>
  </si>
  <si>
    <t>Жилищно-коммунальное хозяйство</t>
  </si>
  <si>
    <t>Мероприятия на проведение обмернобследовательских работ на объектах, подвергшихся пожару</t>
  </si>
  <si>
    <t xml:space="preserve">Исполнение обязательств по уплате взносов на капитальный ремонт в отношении помещений, которые находятся в муниципальной собственности. </t>
  </si>
  <si>
    <t xml:space="preserve">Разработка схем водоснабжения, водоотведения и схем теплоснабжения. </t>
  </si>
  <si>
    <t>Мероприятия по модернизации, капитальному ремонту и подготовке к отопительному сезону объектов коммунальной инфраструктуры, находящихся в муниципальной собственности (обеспечение нормативного запаса топлива)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</si>
  <si>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</si>
  <si>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мероприятий по модернизации, капитальному ремонту и подготовке к отопительному сезону объектов коммунальной инфраструктуры, находящихся в муниципальной собственности (обеспечение нормативного запаса топлива)</t>
  </si>
  <si>
    <t xml:space="preserve">Непрограммные расходы                                                     </t>
  </si>
  <si>
    <t>Прочая закупка товаров, работ и услуг для обеспечения государственных (муниципальных) нужд (Прочие работы, услуги)</t>
  </si>
  <si>
    <t>Программные расходы                                                     Программа №2 Подпрограмма №1</t>
  </si>
  <si>
    <t>Прочая закупка товаров, работ и услуг для обеспечения государственных (муниципальных) нужд (Работы, услуги по содержанию имущества)</t>
  </si>
  <si>
    <t>Развитие ТОСов</t>
  </si>
  <si>
    <t>Премии и гранты (Прочие расходы)</t>
  </si>
  <si>
    <t>Приобретение контейнеров для сбора твердых бытовых отходов</t>
  </si>
  <si>
    <t>Прочая закупка товаров, работ и услуг для обеспечения государственных (муниципальных) нужд (Увеличение стоимости материальных запасов)</t>
  </si>
  <si>
    <t xml:space="preserve">Культура, кинематография                           Программные расходы </t>
  </si>
  <si>
    <t>Культура                                                                Программные расходы                                                                                      Программа №1 Подпрограмма №1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</si>
  <si>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</t>
  </si>
  <si>
    <t xml:space="preserve">Прочая закупка товаров, работ и услуг для обеспечения государственных (муниципальных) нужд  </t>
  </si>
  <si>
    <t>Культура (библиотека)                                                            Программные расходы                                                                                       Программа №1 Подпрограмма №2</t>
  </si>
  <si>
    <t>Прочая закупка товаров, работ и услуг для обеспечения государственных (муниципальных) нужд (Софинансирование увеличения стоимости основных средств)</t>
  </si>
  <si>
    <t>Социальная политика</t>
  </si>
  <si>
    <t>Физическая культура и спорт</t>
  </si>
  <si>
    <t>Физическая культура</t>
  </si>
  <si>
    <t>Межбюджетные трасферты общего характера бюджетам бюджетной системы РФ</t>
  </si>
  <si>
    <t>Прочие межбюджетные трасферты общего характера</t>
  </si>
  <si>
    <t>Иные межбюджетные трансферты (Перечисления другим бюджетам бюджетной системы РФ)</t>
  </si>
  <si>
    <t>0000000000</t>
  </si>
  <si>
    <t>99 9 04 82900</t>
  </si>
  <si>
    <t>99 9 04 62010</t>
  </si>
  <si>
    <t>99 9 04 83700</t>
  </si>
  <si>
    <t>99 9 06 82300</t>
  </si>
  <si>
    <r>
      <t xml:space="preserve">99 9 07 </t>
    </r>
    <r>
      <rPr>
        <b/>
        <i/>
        <sz val="10"/>
        <rFont val="Times New Roman"/>
        <family val="1"/>
      </rPr>
      <t>8</t>
    </r>
    <r>
      <rPr>
        <b/>
        <i/>
        <sz val="10"/>
        <color indexed="8"/>
        <rFont val="Times New Roman"/>
        <family val="1"/>
      </rPr>
      <t>2420</t>
    </r>
  </si>
  <si>
    <t>99 9 10 72980</t>
  </si>
  <si>
    <t>99 9 10S2980</t>
  </si>
  <si>
    <t>99 9 11 62040</t>
  </si>
  <si>
    <t>99 9 11 72140</t>
  </si>
  <si>
    <t>99 9 11 S2140</t>
  </si>
  <si>
    <t>99 9 15 72870</t>
  </si>
  <si>
    <t>99 9 01 82980</t>
  </si>
  <si>
    <t>99 9 01 83110</t>
  </si>
  <si>
    <t>01 2 02 51440</t>
  </si>
  <si>
    <t>01 2 02 L5190</t>
  </si>
  <si>
    <t>01 2 02 72950</t>
  </si>
  <si>
    <t>01 2 02 S2950</t>
  </si>
  <si>
    <t>000</t>
  </si>
  <si>
    <t>880</t>
  </si>
  <si>
    <t>814</t>
  </si>
  <si>
    <t xml:space="preserve">244 
(17-А09-00004) </t>
  </si>
  <si>
    <t>00</t>
  </si>
  <si>
    <t>Л.С. Чащина</t>
  </si>
  <si>
    <t>Исполнено за                2017 г.</t>
  </si>
  <si>
    <t>от  18 октября 2019 года № 100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</si>
</sst>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[$-F400]h:mm:ss\ AM/PM"/>
    <numFmt numFmtId="167" formatCode="[$-FC19]d\ mmmm\ yyyy\ &quot;г.&quot;"/>
    <numFmt numFmtId="168" formatCode="0.000"/>
    <numFmt numFmtId="169" formatCode="0.0"/>
    <numFmt numFmtId="170" formatCode="0.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49" fontId="49" fillId="0" borderId="10" xfId="0" applyNumberFormat="1" applyFont="1" applyFill="1" applyBorder="1" applyAlignment="1">
      <alignment vertical="center" wrapText="1"/>
    </xf>
    <xf numFmtId="176" fontId="49" fillId="0" borderId="10" xfId="0" applyNumberFormat="1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49" fontId="50" fillId="0" borderId="11" xfId="0" applyNumberFormat="1" applyFont="1" applyFill="1" applyBorder="1" applyAlignment="1">
      <alignment horizontal="center"/>
    </xf>
    <xf numFmtId="49" fontId="49" fillId="0" borderId="11" xfId="0" applyNumberFormat="1" applyFont="1" applyFill="1" applyBorder="1" applyAlignment="1">
      <alignment horizontal="center"/>
    </xf>
    <xf numFmtId="49" fontId="49" fillId="0" borderId="12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/>
    </xf>
    <xf numFmtId="49" fontId="49" fillId="0" borderId="12" xfId="0" applyNumberFormat="1" applyFont="1" applyFill="1" applyBorder="1" applyAlignment="1">
      <alignment horizontal="center"/>
    </xf>
    <xf numFmtId="49" fontId="51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51" fillId="0" borderId="11" xfId="0" applyNumberFormat="1" applyFont="1" applyFill="1" applyBorder="1" applyAlignment="1">
      <alignment/>
    </xf>
    <xf numFmtId="4" fontId="50" fillId="0" borderId="11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49" fillId="0" borderId="12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vertical="center"/>
    </xf>
    <xf numFmtId="4" fontId="49" fillId="0" borderId="11" xfId="0" applyNumberFormat="1" applyFont="1" applyFill="1" applyBorder="1" applyAlignment="1">
      <alignment/>
    </xf>
    <xf numFmtId="4" fontId="50" fillId="0" borderId="11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0" fillId="0" borderId="13" xfId="0" applyNumberFormat="1" applyFont="1" applyFill="1" applyBorder="1" applyAlignment="1">
      <alignment horizontal="center"/>
    </xf>
    <xf numFmtId="49" fontId="49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51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/>
    </xf>
    <xf numFmtId="49" fontId="49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1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169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PageLayoutView="0" workbookViewId="0" topLeftCell="A1">
      <selection activeCell="M12" sqref="M12"/>
    </sheetView>
  </sheetViews>
  <sheetFormatPr defaultColWidth="9.125" defaultRowHeight="12.75"/>
  <cols>
    <col min="1" max="1" width="3.625" style="1" customWidth="1"/>
    <col min="2" max="2" width="44.375" style="1" customWidth="1"/>
    <col min="3" max="3" width="4.875" style="1" customWidth="1"/>
    <col min="4" max="5" width="4.50390625" style="1" customWidth="1"/>
    <col min="6" max="6" width="11.25390625" style="1" customWidth="1"/>
    <col min="7" max="7" width="5.00390625" style="1" customWidth="1"/>
    <col min="8" max="8" width="12.375" style="1" customWidth="1"/>
    <col min="9" max="9" width="11.875" style="2" customWidth="1"/>
    <col min="10" max="10" width="12.25390625" style="10" customWidth="1"/>
    <col min="11" max="16384" width="9.125" style="1" customWidth="1"/>
  </cols>
  <sheetData>
    <row r="1" spans="7:9" ht="12.75">
      <c r="G1" s="75" t="s">
        <v>37</v>
      </c>
      <c r="H1" s="75"/>
      <c r="I1" s="75"/>
    </row>
    <row r="2" spans="7:10" ht="12.75">
      <c r="G2" s="76" t="s">
        <v>34</v>
      </c>
      <c r="H2" s="76"/>
      <c r="I2" s="76"/>
      <c r="J2" s="76"/>
    </row>
    <row r="3" spans="7:10" ht="12.75">
      <c r="G3" s="77" t="s">
        <v>35</v>
      </c>
      <c r="H3" s="77"/>
      <c r="I3" s="77"/>
      <c r="J3" s="77"/>
    </row>
    <row r="4" spans="7:10" ht="12.75">
      <c r="G4" s="76" t="s">
        <v>36</v>
      </c>
      <c r="H4" s="76"/>
      <c r="I4" s="76"/>
      <c r="J4" s="76"/>
    </row>
    <row r="5" spans="7:10" ht="12.75">
      <c r="G5" s="76" t="s">
        <v>95</v>
      </c>
      <c r="H5" s="76"/>
      <c r="I5" s="76"/>
      <c r="J5" s="76"/>
    </row>
    <row r="6" spans="7:10" ht="14.25" customHeight="1">
      <c r="G6" s="78" t="s">
        <v>166</v>
      </c>
      <c r="H6" s="78"/>
      <c r="I6" s="78"/>
      <c r="J6" s="78"/>
    </row>
    <row r="7" spans="2:7" ht="10.5" customHeight="1">
      <c r="B7" s="3"/>
      <c r="C7" s="4"/>
      <c r="G7" s="5"/>
    </row>
    <row r="8" spans="1:8" ht="12.75" customHeight="1">
      <c r="A8" s="79" t="s">
        <v>94</v>
      </c>
      <c r="B8" s="79"/>
      <c r="C8" s="79"/>
      <c r="D8" s="79"/>
      <c r="E8" s="79"/>
      <c r="F8" s="79"/>
      <c r="G8" s="79"/>
      <c r="H8" s="79"/>
    </row>
    <row r="9" spans="1:8" ht="21.75" customHeight="1">
      <c r="A9" s="79"/>
      <c r="B9" s="79"/>
      <c r="C9" s="79"/>
      <c r="D9" s="79"/>
      <c r="E9" s="79"/>
      <c r="F9" s="79"/>
      <c r="G9" s="79"/>
      <c r="H9" s="79"/>
    </row>
    <row r="10" spans="2:10" ht="14.25" customHeight="1">
      <c r="B10" s="6"/>
      <c r="C10" s="7"/>
      <c r="H10" s="80" t="s">
        <v>39</v>
      </c>
      <c r="I10" s="80"/>
      <c r="J10" s="80"/>
    </row>
    <row r="11" spans="1:10" ht="12.75">
      <c r="A11" s="73" t="s">
        <v>17</v>
      </c>
      <c r="B11" s="73" t="s">
        <v>3</v>
      </c>
      <c r="C11" s="81" t="s">
        <v>18</v>
      </c>
      <c r="D11" s="83" t="s">
        <v>19</v>
      </c>
      <c r="E11" s="84" t="s">
        <v>20</v>
      </c>
      <c r="F11" s="84" t="s">
        <v>21</v>
      </c>
      <c r="G11" s="84" t="s">
        <v>22</v>
      </c>
      <c r="H11" s="73" t="s">
        <v>78</v>
      </c>
      <c r="I11" s="73" t="s">
        <v>165</v>
      </c>
      <c r="J11" s="74" t="s">
        <v>33</v>
      </c>
    </row>
    <row r="12" spans="1:10" ht="40.5" customHeight="1">
      <c r="A12" s="73"/>
      <c r="B12" s="73"/>
      <c r="C12" s="82"/>
      <c r="D12" s="83"/>
      <c r="E12" s="84"/>
      <c r="F12" s="84"/>
      <c r="G12" s="84"/>
      <c r="H12" s="73"/>
      <c r="I12" s="73"/>
      <c r="J12" s="74"/>
    </row>
    <row r="13" spans="1:10" ht="17.25" customHeight="1">
      <c r="A13" s="9">
        <v>1</v>
      </c>
      <c r="B13" s="51" t="s">
        <v>96</v>
      </c>
      <c r="C13" s="60">
        <v>940</v>
      </c>
      <c r="D13" s="25" t="s">
        <v>6</v>
      </c>
      <c r="E13" s="49" t="s">
        <v>163</v>
      </c>
      <c r="F13" s="39" t="s">
        <v>141</v>
      </c>
      <c r="G13" s="25" t="s">
        <v>159</v>
      </c>
      <c r="H13" s="27">
        <f>H14+H18+H27</f>
        <v>2471800</v>
      </c>
      <c r="I13" s="61">
        <f>I14+I18+I27</f>
        <v>2094670.5899999999</v>
      </c>
      <c r="J13" s="72">
        <f>I13/H13*100</f>
        <v>84.7427214985031</v>
      </c>
    </row>
    <row r="14" spans="1:10" ht="25.5" customHeight="1">
      <c r="A14" s="9"/>
      <c r="B14" s="51" t="s">
        <v>97</v>
      </c>
      <c r="C14" s="60">
        <v>940</v>
      </c>
      <c r="D14" s="15" t="s">
        <v>6</v>
      </c>
      <c r="E14" s="49" t="s">
        <v>23</v>
      </c>
      <c r="F14" s="39" t="s">
        <v>141</v>
      </c>
      <c r="G14" s="15" t="s">
        <v>159</v>
      </c>
      <c r="H14" s="28">
        <f>H16+H17</f>
        <v>939377.02</v>
      </c>
      <c r="I14" s="62">
        <f>I16+I17</f>
        <v>708194.32</v>
      </c>
      <c r="J14" s="72">
        <f aca="true" t="shared" si="0" ref="J14:J77">I14/H14*100</f>
        <v>75.38978545589714</v>
      </c>
    </row>
    <row r="15" spans="1:10" ht="19.5" customHeight="1">
      <c r="A15" s="9"/>
      <c r="B15" s="52" t="s">
        <v>80</v>
      </c>
      <c r="C15" s="60">
        <v>940</v>
      </c>
      <c r="D15" s="16" t="s">
        <v>6</v>
      </c>
      <c r="E15" s="49" t="s">
        <v>23</v>
      </c>
      <c r="F15" s="40" t="s">
        <v>43</v>
      </c>
      <c r="G15" s="16" t="s">
        <v>159</v>
      </c>
      <c r="H15" s="29">
        <f>H16+H17</f>
        <v>939377.02</v>
      </c>
      <c r="I15" s="63">
        <f>I16+I17</f>
        <v>708194.32</v>
      </c>
      <c r="J15" s="72">
        <f t="shared" si="0"/>
        <v>75.38978545589714</v>
      </c>
    </row>
    <row r="16" spans="1:10" ht="25.5" customHeight="1">
      <c r="A16" s="9"/>
      <c r="B16" s="13" t="s">
        <v>41</v>
      </c>
      <c r="C16" s="60">
        <v>940</v>
      </c>
      <c r="D16" s="17" t="s">
        <v>6</v>
      </c>
      <c r="E16" s="49" t="s">
        <v>23</v>
      </c>
      <c r="F16" s="41" t="s">
        <v>43</v>
      </c>
      <c r="G16" s="17" t="s">
        <v>11</v>
      </c>
      <c r="H16" s="30">
        <f>900000-145000</f>
        <v>755000</v>
      </c>
      <c r="I16" s="64">
        <f>93417.68+169258.74+18506.2+25000+50000+35000+72087.96+124955.08+46231.39+55231.07</f>
        <v>689688.12</v>
      </c>
      <c r="J16" s="72">
        <f t="shared" si="0"/>
        <v>91.34941986754967</v>
      </c>
    </row>
    <row r="17" spans="1:10" ht="25.5" customHeight="1">
      <c r="A17" s="9"/>
      <c r="B17" s="13" t="s">
        <v>46</v>
      </c>
      <c r="C17" s="60">
        <v>940</v>
      </c>
      <c r="D17" s="17" t="s">
        <v>6</v>
      </c>
      <c r="E17" s="49" t="s">
        <v>23</v>
      </c>
      <c r="F17" s="41" t="s">
        <v>43</v>
      </c>
      <c r="G17" s="17" t="s">
        <v>45</v>
      </c>
      <c r="H17" s="30">
        <f>280000-622.98-45000-50000</f>
        <v>184377.02000000002</v>
      </c>
      <c r="I17" s="64">
        <v>18506.2</v>
      </c>
      <c r="J17" s="72">
        <f t="shared" si="0"/>
        <v>10.037151050602725</v>
      </c>
    </row>
    <row r="18" spans="1:10" ht="42" customHeight="1">
      <c r="A18" s="9"/>
      <c r="B18" s="51" t="s">
        <v>24</v>
      </c>
      <c r="C18" s="60">
        <v>950</v>
      </c>
      <c r="D18" s="15" t="s">
        <v>6</v>
      </c>
      <c r="E18" s="49" t="s">
        <v>4</v>
      </c>
      <c r="F18" s="39" t="s">
        <v>141</v>
      </c>
      <c r="G18" s="15" t="s">
        <v>159</v>
      </c>
      <c r="H18" s="28">
        <f>H19+H23</f>
        <v>1024652.2300000001</v>
      </c>
      <c r="I18" s="62">
        <f>I19+I23</f>
        <v>1024652.2299999999</v>
      </c>
      <c r="J18" s="72">
        <f t="shared" si="0"/>
        <v>99.99999999999997</v>
      </c>
    </row>
    <row r="19" spans="1:10" ht="18.75" customHeight="1">
      <c r="A19" s="9"/>
      <c r="B19" s="52" t="s">
        <v>80</v>
      </c>
      <c r="C19" s="60">
        <v>950</v>
      </c>
      <c r="D19" s="16" t="s">
        <v>6</v>
      </c>
      <c r="E19" s="49" t="s">
        <v>4</v>
      </c>
      <c r="F19" s="40" t="s">
        <v>44</v>
      </c>
      <c r="G19" s="16" t="s">
        <v>159</v>
      </c>
      <c r="H19" s="29">
        <f>H20+H21+H22</f>
        <v>989551.8700000001</v>
      </c>
      <c r="I19" s="63">
        <f>I20+I21+I22</f>
        <v>989551.8699999999</v>
      </c>
      <c r="J19" s="72">
        <f t="shared" si="0"/>
        <v>99.99999999999997</v>
      </c>
    </row>
    <row r="20" spans="1:10" ht="44.25" customHeight="1">
      <c r="A20" s="9"/>
      <c r="B20" s="13" t="s">
        <v>98</v>
      </c>
      <c r="C20" s="60">
        <v>950</v>
      </c>
      <c r="D20" s="17" t="s">
        <v>6</v>
      </c>
      <c r="E20" s="49" t="s">
        <v>4</v>
      </c>
      <c r="F20" s="41" t="s">
        <v>44</v>
      </c>
      <c r="G20" s="17" t="s">
        <v>11</v>
      </c>
      <c r="H20" s="30">
        <f>645000-104000+51063.81+50000+49115.83+48231.66</f>
        <v>739411.3</v>
      </c>
      <c r="I20" s="64">
        <f>270343.16+44650.76+44650.76+14883.6+30000+70024.87+30000+13484.83+74025.83+49115.83+49115.83+49115.83</f>
        <v>739411.2999999998</v>
      </c>
      <c r="J20" s="72">
        <f t="shared" si="0"/>
        <v>99.99999999999997</v>
      </c>
    </row>
    <row r="21" spans="1:10" ht="25.5" customHeight="1">
      <c r="A21" s="9"/>
      <c r="B21" s="13" t="s">
        <v>99</v>
      </c>
      <c r="C21" s="60">
        <v>950</v>
      </c>
      <c r="D21" s="17" t="s">
        <v>6</v>
      </c>
      <c r="E21" s="49" t="s">
        <v>4</v>
      </c>
      <c r="F21" s="41" t="s">
        <v>44</v>
      </c>
      <c r="G21" s="17" t="s">
        <v>12</v>
      </c>
      <c r="H21" s="30">
        <f>5000+15798.4</f>
        <v>20798.4</v>
      </c>
      <c r="I21" s="64">
        <f>958.4+19840</f>
        <v>20798.4</v>
      </c>
      <c r="J21" s="72">
        <f t="shared" si="0"/>
        <v>100</v>
      </c>
    </row>
    <row r="22" spans="1:10" ht="30" customHeight="1">
      <c r="A22" s="9"/>
      <c r="B22" s="13" t="s">
        <v>46</v>
      </c>
      <c r="C22" s="60">
        <v>950</v>
      </c>
      <c r="D22" s="17" t="s">
        <v>6</v>
      </c>
      <c r="E22" s="49" t="s">
        <v>4</v>
      </c>
      <c r="F22" s="41" t="s">
        <v>44</v>
      </c>
      <c r="G22" s="17" t="s">
        <v>45</v>
      </c>
      <c r="H22" s="30">
        <f>220000-35000-51063.81+4001.32+300+30000+61104.66</f>
        <v>229342.17</v>
      </c>
      <c r="I22" s="64">
        <f>616.04+295.37+35000.73+116.25+196.46+97711.34+4001.32+98.23+98.23+91208.2</f>
        <v>229342.17000000004</v>
      </c>
      <c r="J22" s="72">
        <f t="shared" si="0"/>
        <v>100.00000000000003</v>
      </c>
    </row>
    <row r="23" spans="1:10" ht="30" customHeight="1">
      <c r="A23" s="9"/>
      <c r="B23" s="52" t="s">
        <v>81</v>
      </c>
      <c r="C23" s="60">
        <v>950</v>
      </c>
      <c r="D23" s="16" t="s">
        <v>6</v>
      </c>
      <c r="E23" s="49" t="s">
        <v>4</v>
      </c>
      <c r="F23" s="40" t="s">
        <v>44</v>
      </c>
      <c r="G23" s="16" t="s">
        <v>159</v>
      </c>
      <c r="H23" s="29">
        <f>H24+H25</f>
        <v>35100.36</v>
      </c>
      <c r="I23" s="63">
        <f>I24+I25</f>
        <v>35100.36</v>
      </c>
      <c r="J23" s="72">
        <f t="shared" si="0"/>
        <v>100</v>
      </c>
    </row>
    <row r="24" spans="1:10" ht="25.5" customHeight="1">
      <c r="A24" s="9"/>
      <c r="B24" s="13" t="s">
        <v>100</v>
      </c>
      <c r="C24" s="60">
        <v>950</v>
      </c>
      <c r="D24" s="17" t="s">
        <v>6</v>
      </c>
      <c r="E24" s="49" t="s">
        <v>4</v>
      </c>
      <c r="F24" s="41" t="s">
        <v>44</v>
      </c>
      <c r="G24" s="17" t="s">
        <v>15</v>
      </c>
      <c r="H24" s="30">
        <f>9600-4001.32+24720-1368.68</f>
        <v>28950</v>
      </c>
      <c r="I24" s="64">
        <f>2730+1500+24720</f>
        <v>28950</v>
      </c>
      <c r="J24" s="72">
        <f t="shared" si="0"/>
        <v>100</v>
      </c>
    </row>
    <row r="25" spans="1:10" ht="18" customHeight="1">
      <c r="A25" s="9"/>
      <c r="B25" s="13" t="s">
        <v>49</v>
      </c>
      <c r="C25" s="60">
        <v>950</v>
      </c>
      <c r="D25" s="17" t="s">
        <v>6</v>
      </c>
      <c r="E25" s="49" t="s">
        <v>4</v>
      </c>
      <c r="F25" s="41" t="s">
        <v>44</v>
      </c>
      <c r="G25" s="17" t="s">
        <v>50</v>
      </c>
      <c r="H25" s="30">
        <f>400+3659.19+722.49+1368.68</f>
        <v>6150.360000000001</v>
      </c>
      <c r="I25" s="64">
        <f>336.67+0.56+0.42+3721.54+2091.17</f>
        <v>6150.360000000001</v>
      </c>
      <c r="J25" s="72">
        <f t="shared" si="0"/>
        <v>100</v>
      </c>
    </row>
    <row r="26" spans="1:10" ht="2.25" customHeight="1">
      <c r="A26" s="9"/>
      <c r="B26" s="11"/>
      <c r="C26" s="60"/>
      <c r="D26" s="50"/>
      <c r="E26" s="49"/>
      <c r="F26" s="18"/>
      <c r="G26" s="18"/>
      <c r="H26" s="18"/>
      <c r="I26" s="18"/>
      <c r="J26" s="72"/>
    </row>
    <row r="27" spans="1:10" ht="18.75" customHeight="1">
      <c r="A27" s="9"/>
      <c r="B27" s="51" t="s">
        <v>101</v>
      </c>
      <c r="C27" s="60">
        <v>940</v>
      </c>
      <c r="D27" s="15" t="s">
        <v>6</v>
      </c>
      <c r="E27" s="49" t="s">
        <v>5</v>
      </c>
      <c r="F27" s="39" t="s">
        <v>141</v>
      </c>
      <c r="G27" s="15" t="s">
        <v>159</v>
      </c>
      <c r="H27" s="31">
        <f>H28+H32</f>
        <v>507770.75</v>
      </c>
      <c r="I27" s="65">
        <f>I28+I32</f>
        <v>361824.04</v>
      </c>
      <c r="J27" s="72">
        <f t="shared" si="0"/>
        <v>71.25736171293836</v>
      </c>
    </row>
    <row r="28" spans="1:10" ht="15.75" customHeight="1">
      <c r="A28" s="9"/>
      <c r="B28" s="52" t="s">
        <v>80</v>
      </c>
      <c r="C28" s="60">
        <v>940</v>
      </c>
      <c r="D28" s="16" t="s">
        <v>6</v>
      </c>
      <c r="E28" s="49" t="s">
        <v>5</v>
      </c>
      <c r="F28" s="40" t="s">
        <v>47</v>
      </c>
      <c r="G28" s="16" t="s">
        <v>159</v>
      </c>
      <c r="H28" s="29">
        <f>H29+H30+H31</f>
        <v>470675.41000000003</v>
      </c>
      <c r="I28" s="63">
        <f>I29+I30+I31</f>
        <v>361624.04</v>
      </c>
      <c r="J28" s="72">
        <f t="shared" si="0"/>
        <v>76.83087586836116</v>
      </c>
    </row>
    <row r="29" spans="1:10" ht="25.5" customHeight="1">
      <c r="A29" s="9"/>
      <c r="B29" s="13" t="s">
        <v>98</v>
      </c>
      <c r="C29" s="60">
        <v>940</v>
      </c>
      <c r="D29" s="17" t="s">
        <v>6</v>
      </c>
      <c r="E29" s="49" t="s">
        <v>5</v>
      </c>
      <c r="F29" s="41" t="s">
        <v>47</v>
      </c>
      <c r="G29" s="17" t="s">
        <v>11</v>
      </c>
      <c r="H29" s="30">
        <f>450000-73000</f>
        <v>377000</v>
      </c>
      <c r="I29" s="64">
        <f>27686.91+54840.5+56067.03+25000+25722.94+35000+39778.52+48516.3+24729.98+24281.86</f>
        <v>361624.04</v>
      </c>
      <c r="J29" s="72">
        <f t="shared" si="0"/>
        <v>95.92149602122015</v>
      </c>
    </row>
    <row r="30" spans="1:10" ht="25.5" customHeight="1">
      <c r="A30" s="9"/>
      <c r="B30" s="13" t="s">
        <v>102</v>
      </c>
      <c r="C30" s="60">
        <v>940</v>
      </c>
      <c r="D30" s="17" t="s">
        <v>6</v>
      </c>
      <c r="E30" s="49" t="s">
        <v>5</v>
      </c>
      <c r="F30" s="41" t="s">
        <v>47</v>
      </c>
      <c r="G30" s="17" t="s">
        <v>12</v>
      </c>
      <c r="H30" s="30">
        <f>140000-50300-3659.19-48231.66-30000</f>
        <v>7809.149999999994</v>
      </c>
      <c r="I30" s="64">
        <v>0</v>
      </c>
      <c r="J30" s="72">
        <f t="shared" si="0"/>
        <v>0</v>
      </c>
    </row>
    <row r="31" spans="1:10" ht="25.5" customHeight="1">
      <c r="A31" s="9"/>
      <c r="B31" s="13" t="s">
        <v>46</v>
      </c>
      <c r="C31" s="60">
        <v>940</v>
      </c>
      <c r="D31" s="17" t="s">
        <v>6</v>
      </c>
      <c r="E31" s="49" t="s">
        <v>5</v>
      </c>
      <c r="F31" s="41" t="s">
        <v>47</v>
      </c>
      <c r="G31" s="17" t="s">
        <v>45</v>
      </c>
      <c r="H31" s="30">
        <f>150000-305.58-23471.44-39634.23-722.49</f>
        <v>85866.26</v>
      </c>
      <c r="I31" s="64">
        <v>0</v>
      </c>
      <c r="J31" s="72">
        <f t="shared" si="0"/>
        <v>0</v>
      </c>
    </row>
    <row r="32" spans="1:10" ht="25.5" customHeight="1">
      <c r="A32" s="9"/>
      <c r="B32" s="52" t="s">
        <v>81</v>
      </c>
      <c r="C32" s="60">
        <v>940</v>
      </c>
      <c r="D32" s="16" t="s">
        <v>6</v>
      </c>
      <c r="E32" s="49" t="s">
        <v>5</v>
      </c>
      <c r="F32" s="40" t="s">
        <v>47</v>
      </c>
      <c r="G32" s="16" t="s">
        <v>159</v>
      </c>
      <c r="H32" s="29">
        <f>H33+H34+H35</f>
        <v>37095.34</v>
      </c>
      <c r="I32" s="63">
        <f>I33+I34+I35</f>
        <v>200</v>
      </c>
      <c r="J32" s="72">
        <f t="shared" si="0"/>
        <v>0.5391512788398759</v>
      </c>
    </row>
    <row r="33" spans="1:10" ht="39" customHeight="1">
      <c r="A33" s="9"/>
      <c r="B33" s="13" t="s">
        <v>40</v>
      </c>
      <c r="C33" s="60">
        <v>940</v>
      </c>
      <c r="D33" s="17" t="s">
        <v>6</v>
      </c>
      <c r="E33" s="49" t="s">
        <v>5</v>
      </c>
      <c r="F33" s="41" t="s">
        <v>47</v>
      </c>
      <c r="G33" s="17" t="s">
        <v>8</v>
      </c>
      <c r="H33" s="30">
        <f>135000-22770-67230-45000</f>
        <v>0</v>
      </c>
      <c r="I33" s="64">
        <v>0</v>
      </c>
      <c r="J33" s="72">
        <v>0</v>
      </c>
    </row>
    <row r="34" spans="1:10" ht="19.5" customHeight="1">
      <c r="A34" s="9"/>
      <c r="B34" s="13" t="s">
        <v>60</v>
      </c>
      <c r="C34" s="60">
        <v>940</v>
      </c>
      <c r="D34" s="17" t="s">
        <v>6</v>
      </c>
      <c r="E34" s="49" t="s">
        <v>5</v>
      </c>
      <c r="F34" s="41" t="s">
        <v>47</v>
      </c>
      <c r="G34" s="17" t="s">
        <v>16</v>
      </c>
      <c r="H34" s="30">
        <f>93200-61104.66</f>
        <v>32095.339999999997</v>
      </c>
      <c r="I34" s="64">
        <v>0</v>
      </c>
      <c r="J34" s="72">
        <f t="shared" si="0"/>
        <v>0</v>
      </c>
    </row>
    <row r="35" spans="1:10" ht="19.5" customHeight="1">
      <c r="A35" s="9"/>
      <c r="B35" s="13" t="s">
        <v>49</v>
      </c>
      <c r="C35" s="60">
        <v>940</v>
      </c>
      <c r="D35" s="17" t="s">
        <v>6</v>
      </c>
      <c r="E35" s="49" t="s">
        <v>5</v>
      </c>
      <c r="F35" s="41" t="s">
        <v>47</v>
      </c>
      <c r="G35" s="17" t="s">
        <v>50</v>
      </c>
      <c r="H35" s="30">
        <v>5000</v>
      </c>
      <c r="I35" s="64">
        <v>200</v>
      </c>
      <c r="J35" s="72">
        <f t="shared" si="0"/>
        <v>4</v>
      </c>
    </row>
    <row r="36" spans="1:10" ht="3" customHeight="1">
      <c r="A36" s="9"/>
      <c r="B36" s="11"/>
      <c r="C36" s="60"/>
      <c r="D36" s="50"/>
      <c r="E36" s="49"/>
      <c r="F36" s="18"/>
      <c r="G36" s="18"/>
      <c r="H36" s="18"/>
      <c r="I36" s="18"/>
      <c r="J36" s="72"/>
    </row>
    <row r="37" spans="1:10" ht="25.5" customHeight="1">
      <c r="A37" s="9"/>
      <c r="B37" s="53" t="s">
        <v>103</v>
      </c>
      <c r="C37" s="60">
        <v>940</v>
      </c>
      <c r="D37" s="21" t="s">
        <v>6</v>
      </c>
      <c r="E37" s="49" t="s">
        <v>31</v>
      </c>
      <c r="F37" s="39" t="s">
        <v>141</v>
      </c>
      <c r="G37" s="21" t="s">
        <v>159</v>
      </c>
      <c r="H37" s="28">
        <f>H38+H39+H40</f>
        <v>423000</v>
      </c>
      <c r="I37" s="62">
        <f>I38+I39+I40</f>
        <v>418809.07</v>
      </c>
      <c r="J37" s="72">
        <f t="shared" si="0"/>
        <v>99.00923640661938</v>
      </c>
    </row>
    <row r="38" spans="1:10" ht="31.5" customHeight="1">
      <c r="A38" s="9"/>
      <c r="B38" s="12" t="s">
        <v>104</v>
      </c>
      <c r="C38" s="60">
        <v>940</v>
      </c>
      <c r="D38" s="17" t="s">
        <v>6</v>
      </c>
      <c r="E38" s="49" t="s">
        <v>31</v>
      </c>
      <c r="F38" s="42" t="s">
        <v>54</v>
      </c>
      <c r="G38" s="17" t="s">
        <v>42</v>
      </c>
      <c r="H38" s="30">
        <f>200000-100000</f>
        <v>100000</v>
      </c>
      <c r="I38" s="64">
        <f>68900+25000+2000</f>
        <v>95900</v>
      </c>
      <c r="J38" s="72">
        <f t="shared" si="0"/>
        <v>95.89999999999999</v>
      </c>
    </row>
    <row r="39" spans="1:10" ht="27.75" customHeight="1">
      <c r="A39" s="9"/>
      <c r="B39" s="12" t="s">
        <v>79</v>
      </c>
      <c r="C39" s="60">
        <v>940</v>
      </c>
      <c r="D39" s="17" t="s">
        <v>6</v>
      </c>
      <c r="E39" s="49" t="s">
        <v>31</v>
      </c>
      <c r="F39" s="42" t="s">
        <v>54</v>
      </c>
      <c r="G39" s="17" t="s">
        <v>160</v>
      </c>
      <c r="H39" s="30">
        <v>223000</v>
      </c>
      <c r="I39" s="64">
        <v>222909.07</v>
      </c>
      <c r="J39" s="72">
        <f t="shared" si="0"/>
        <v>99.95922421524665</v>
      </c>
    </row>
    <row r="40" spans="1:10" ht="16.5" customHeight="1">
      <c r="A40" s="9"/>
      <c r="B40" s="12" t="s">
        <v>105</v>
      </c>
      <c r="C40" s="60">
        <v>940</v>
      </c>
      <c r="D40" s="17" t="s">
        <v>6</v>
      </c>
      <c r="E40" s="49" t="s">
        <v>31</v>
      </c>
      <c r="F40" s="42" t="s">
        <v>142</v>
      </c>
      <c r="G40" s="17" t="s">
        <v>8</v>
      </c>
      <c r="H40" s="30">
        <v>100000</v>
      </c>
      <c r="I40" s="64">
        <v>100000</v>
      </c>
      <c r="J40" s="72">
        <f t="shared" si="0"/>
        <v>100</v>
      </c>
    </row>
    <row r="41" spans="1:10" ht="16.5" customHeight="1">
      <c r="A41" s="9"/>
      <c r="B41" s="54" t="s">
        <v>0</v>
      </c>
      <c r="C41" s="60">
        <v>944</v>
      </c>
      <c r="D41" s="15" t="s">
        <v>6</v>
      </c>
      <c r="E41" s="49" t="s">
        <v>31</v>
      </c>
      <c r="F41" s="43" t="s">
        <v>141</v>
      </c>
      <c r="G41" s="15" t="s">
        <v>159</v>
      </c>
      <c r="H41" s="31">
        <f>H42+H43+H44+H45</f>
        <v>7344267.699999999</v>
      </c>
      <c r="I41" s="65">
        <f>I42+I43+I44+I45</f>
        <v>7303779.529999999</v>
      </c>
      <c r="J41" s="72">
        <f t="shared" si="0"/>
        <v>99.4487105909824</v>
      </c>
    </row>
    <row r="42" spans="1:10" ht="28.5" customHeight="1">
      <c r="A42" s="9"/>
      <c r="B42" s="55" t="s">
        <v>80</v>
      </c>
      <c r="C42" s="60">
        <v>944</v>
      </c>
      <c r="D42" s="16" t="s">
        <v>6</v>
      </c>
      <c r="E42" s="49" t="s">
        <v>31</v>
      </c>
      <c r="F42" s="44" t="s">
        <v>143</v>
      </c>
      <c r="G42" s="16" t="s">
        <v>159</v>
      </c>
      <c r="H42" s="32">
        <f>H46+H49+H51+H55</f>
        <v>2449374.6799999997</v>
      </c>
      <c r="I42" s="66">
        <f>I46+I49+I51+I55</f>
        <v>2449374.6799999997</v>
      </c>
      <c r="J42" s="72">
        <f t="shared" si="0"/>
        <v>100</v>
      </c>
    </row>
    <row r="43" spans="1:10" ht="16.5" customHeight="1">
      <c r="A43" s="8"/>
      <c r="B43" s="56" t="s">
        <v>80</v>
      </c>
      <c r="C43" s="60">
        <v>944</v>
      </c>
      <c r="D43" s="19" t="s">
        <v>6</v>
      </c>
      <c r="E43" s="49" t="s">
        <v>31</v>
      </c>
      <c r="F43" s="44" t="s">
        <v>93</v>
      </c>
      <c r="G43" s="19" t="s">
        <v>159</v>
      </c>
      <c r="H43" s="33">
        <f>H47</f>
        <v>56715</v>
      </c>
      <c r="I43" s="67">
        <f>I47</f>
        <v>56715</v>
      </c>
      <c r="J43" s="72">
        <f t="shared" si="0"/>
        <v>100</v>
      </c>
    </row>
    <row r="44" spans="1:10" ht="16.5" customHeight="1">
      <c r="A44" s="8"/>
      <c r="B44" s="55" t="s">
        <v>80</v>
      </c>
      <c r="C44" s="60">
        <v>944</v>
      </c>
      <c r="D44" s="16" t="s">
        <v>6</v>
      </c>
      <c r="E44" s="49" t="s">
        <v>31</v>
      </c>
      <c r="F44" s="44" t="s">
        <v>57</v>
      </c>
      <c r="G44" s="16" t="s">
        <v>159</v>
      </c>
      <c r="H44" s="29">
        <f>H48+H50+H52+H54</f>
        <v>4619579.949999999</v>
      </c>
      <c r="I44" s="63">
        <f>I48+I50+I52+I54</f>
        <v>4579091.779999999</v>
      </c>
      <c r="J44" s="72">
        <f t="shared" si="0"/>
        <v>99.1235529974971</v>
      </c>
    </row>
    <row r="45" spans="1:10" ht="16.5" customHeight="1">
      <c r="A45" s="8"/>
      <c r="B45" s="55" t="s">
        <v>80</v>
      </c>
      <c r="C45" s="60">
        <v>944</v>
      </c>
      <c r="D45" s="16" t="s">
        <v>6</v>
      </c>
      <c r="E45" s="49" t="s">
        <v>31</v>
      </c>
      <c r="F45" s="44" t="s">
        <v>144</v>
      </c>
      <c r="G45" s="16" t="s">
        <v>159</v>
      </c>
      <c r="H45" s="29">
        <f>H53</f>
        <v>218598.07</v>
      </c>
      <c r="I45" s="63">
        <f>I53</f>
        <v>218598.07</v>
      </c>
      <c r="J45" s="72">
        <f t="shared" si="0"/>
        <v>100</v>
      </c>
    </row>
    <row r="46" spans="2:10" ht="12.75">
      <c r="B46" s="11" t="s">
        <v>106</v>
      </c>
      <c r="C46" s="60">
        <v>944</v>
      </c>
      <c r="D46" s="17" t="s">
        <v>6</v>
      </c>
      <c r="E46" s="49" t="s">
        <v>31</v>
      </c>
      <c r="F46" s="45" t="s">
        <v>143</v>
      </c>
      <c r="G46" s="17" t="s">
        <v>9</v>
      </c>
      <c r="H46" s="30">
        <f>545000-436.56+722825.54</f>
        <v>1267388.98</v>
      </c>
      <c r="I46" s="64">
        <f>534509.03+732879.95</f>
        <v>1267388.98</v>
      </c>
      <c r="J46" s="72">
        <f t="shared" si="0"/>
        <v>100</v>
      </c>
    </row>
    <row r="47" spans="2:10" ht="12.75">
      <c r="B47" s="11" t="s">
        <v>106</v>
      </c>
      <c r="C47" s="60">
        <v>944</v>
      </c>
      <c r="D47" s="17" t="s">
        <v>6</v>
      </c>
      <c r="E47" s="49" t="s">
        <v>31</v>
      </c>
      <c r="F47" s="45" t="s">
        <v>93</v>
      </c>
      <c r="G47" s="17" t="s">
        <v>9</v>
      </c>
      <c r="H47" s="30">
        <f>56715</f>
        <v>56715</v>
      </c>
      <c r="I47" s="64">
        <f>17567.13+1903.58+17567.13+19677.16</f>
        <v>56715</v>
      </c>
      <c r="J47" s="72">
        <f t="shared" si="0"/>
        <v>100</v>
      </c>
    </row>
    <row r="48" spans="2:10" ht="12.75">
      <c r="B48" s="11" t="s">
        <v>106</v>
      </c>
      <c r="C48" s="60">
        <v>944</v>
      </c>
      <c r="D48" s="17" t="s">
        <v>6</v>
      </c>
      <c r="E48" s="49" t="s">
        <v>31</v>
      </c>
      <c r="F48" s="45" t="s">
        <v>57</v>
      </c>
      <c r="G48" s="17" t="s">
        <v>9</v>
      </c>
      <c r="H48" s="30">
        <f>2686047.82+264471.44+31025+111042.22+12582.31+22067.86+4959.96+15000+545000-545000</f>
        <v>3147196.61</v>
      </c>
      <c r="I48" s="64">
        <f>1439737.59+279526.54+342961.04+13193.22+255627.74+197068.66+296882.47+137739.52+12582.31+111042.22+18807.48+22067.86+4959.96+15000+343301.05-343301.05</f>
        <v>3147196.61</v>
      </c>
      <c r="J48" s="72">
        <f t="shared" si="0"/>
        <v>100</v>
      </c>
    </row>
    <row r="49" spans="2:10" ht="26.25">
      <c r="B49" s="11" t="s">
        <v>73</v>
      </c>
      <c r="C49" s="60">
        <v>944</v>
      </c>
      <c r="D49" s="17" t="s">
        <v>6</v>
      </c>
      <c r="E49" s="49" t="s">
        <v>31</v>
      </c>
      <c r="F49" s="45" t="s">
        <v>143</v>
      </c>
      <c r="G49" s="17" t="s">
        <v>14</v>
      </c>
      <c r="H49" s="30">
        <v>46880.1</v>
      </c>
      <c r="I49" s="64">
        <v>46880.1</v>
      </c>
      <c r="J49" s="72">
        <f t="shared" si="0"/>
        <v>100</v>
      </c>
    </row>
    <row r="50" spans="2:10" ht="26.25">
      <c r="B50" s="11" t="s">
        <v>73</v>
      </c>
      <c r="C50" s="60">
        <v>944</v>
      </c>
      <c r="D50" s="17" t="s">
        <v>6</v>
      </c>
      <c r="E50" s="49" t="s">
        <v>31</v>
      </c>
      <c r="F50" s="45" t="s">
        <v>57</v>
      </c>
      <c r="G50" s="17" t="s">
        <v>14</v>
      </c>
      <c r="H50" s="30">
        <f>30000+15000</f>
        <v>45000</v>
      </c>
      <c r="I50" s="64">
        <f>40913.5+1584+1188</f>
        <v>43685.5</v>
      </c>
      <c r="J50" s="72">
        <f t="shared" si="0"/>
        <v>97.0788888888889</v>
      </c>
    </row>
    <row r="51" spans="2:10" ht="39">
      <c r="B51" s="11" t="s">
        <v>58</v>
      </c>
      <c r="C51" s="60">
        <v>944</v>
      </c>
      <c r="D51" s="17" t="s">
        <v>6</v>
      </c>
      <c r="E51" s="49" t="s">
        <v>31</v>
      </c>
      <c r="F51" s="45" t="s">
        <v>143</v>
      </c>
      <c r="G51" s="17" t="s">
        <v>59</v>
      </c>
      <c r="H51" s="30">
        <f>800558.38+244125.32-244125.32</f>
        <v>800558.3799999999</v>
      </c>
      <c r="I51" s="64">
        <v>800558.38</v>
      </c>
      <c r="J51" s="72">
        <f t="shared" si="0"/>
        <v>100.00000000000003</v>
      </c>
    </row>
    <row r="52" spans="2:10" ht="39">
      <c r="B52" s="11" t="s">
        <v>58</v>
      </c>
      <c r="C52" s="60">
        <v>944</v>
      </c>
      <c r="D52" s="17" t="s">
        <v>6</v>
      </c>
      <c r="E52" s="49" t="s">
        <v>31</v>
      </c>
      <c r="F52" s="45" t="s">
        <v>57</v>
      </c>
      <c r="G52" s="17" t="s">
        <v>59</v>
      </c>
      <c r="H52" s="30">
        <f>683266.61-12582.31-31025-111042.22-15000-4959.96-22067.86+48500-199642.09-15140.46-50000</f>
        <v>270306.71</v>
      </c>
      <c r="I52" s="64">
        <f>211335.11+15958.01+14773.17+1643.83+12578.55+619.95+9269.48+1741.71+34.23+810.24</f>
        <v>268764.27999999997</v>
      </c>
      <c r="J52" s="72">
        <f t="shared" si="0"/>
        <v>99.42937783527458</v>
      </c>
    </row>
    <row r="53" spans="2:10" ht="52.5">
      <c r="B53" s="11" t="s">
        <v>107</v>
      </c>
      <c r="C53" s="60">
        <v>944</v>
      </c>
      <c r="D53" s="17" t="s">
        <v>6</v>
      </c>
      <c r="E53" s="49" t="s">
        <v>31</v>
      </c>
      <c r="F53" s="45" t="s">
        <v>144</v>
      </c>
      <c r="G53" s="17" t="s">
        <v>59</v>
      </c>
      <c r="H53" s="30">
        <v>218598.07</v>
      </c>
      <c r="I53" s="64">
        <v>218598.07</v>
      </c>
      <c r="J53" s="72">
        <f t="shared" si="0"/>
        <v>100</v>
      </c>
    </row>
    <row r="54" spans="2:10" ht="13.5">
      <c r="B54" s="55" t="s">
        <v>81</v>
      </c>
      <c r="C54" s="60">
        <v>944</v>
      </c>
      <c r="D54" s="16" t="s">
        <v>6</v>
      </c>
      <c r="E54" s="49" t="s">
        <v>31</v>
      </c>
      <c r="F54" s="44" t="s">
        <v>57</v>
      </c>
      <c r="G54" s="16" t="s">
        <v>159</v>
      </c>
      <c r="H54" s="29">
        <f>H57+H60+H61+H59</f>
        <v>1157076.63</v>
      </c>
      <c r="I54" s="63">
        <f>I57+I60+I61+I59</f>
        <v>1119445.39</v>
      </c>
      <c r="J54" s="72">
        <f t="shared" si="0"/>
        <v>96.74773139269091</v>
      </c>
    </row>
    <row r="55" spans="2:10" ht="13.5">
      <c r="B55" s="55" t="s">
        <v>81</v>
      </c>
      <c r="C55" s="60">
        <v>944</v>
      </c>
      <c r="D55" s="16" t="s">
        <v>6</v>
      </c>
      <c r="E55" s="49" t="s">
        <v>31</v>
      </c>
      <c r="F55" s="44" t="s">
        <v>143</v>
      </c>
      <c r="G55" s="16" t="s">
        <v>159</v>
      </c>
      <c r="H55" s="29">
        <f>H56+H58</f>
        <v>334547.22</v>
      </c>
      <c r="I55" s="63">
        <f>I56+I58</f>
        <v>334547.22</v>
      </c>
      <c r="J55" s="72">
        <f t="shared" si="0"/>
        <v>100</v>
      </c>
    </row>
    <row r="56" spans="2:10" ht="26.25">
      <c r="B56" s="13" t="s">
        <v>100</v>
      </c>
      <c r="C56" s="60">
        <v>944</v>
      </c>
      <c r="D56" s="17" t="s">
        <v>6</v>
      </c>
      <c r="E56" s="49" t="s">
        <v>31</v>
      </c>
      <c r="F56" s="45" t="s">
        <v>143</v>
      </c>
      <c r="G56" s="17" t="s">
        <v>15</v>
      </c>
      <c r="H56" s="30">
        <f>8000+15750+112249.7</f>
        <v>135999.7</v>
      </c>
      <c r="I56" s="64">
        <f>8000+15750+112249.7</f>
        <v>135999.7</v>
      </c>
      <c r="J56" s="72">
        <f t="shared" si="0"/>
        <v>100</v>
      </c>
    </row>
    <row r="57" spans="2:10" ht="26.25">
      <c r="B57" s="13" t="s">
        <v>100</v>
      </c>
      <c r="C57" s="60">
        <v>944</v>
      </c>
      <c r="D57" s="17" t="s">
        <v>6</v>
      </c>
      <c r="E57" s="49" t="s">
        <v>31</v>
      </c>
      <c r="F57" s="45" t="s">
        <v>57</v>
      </c>
      <c r="G57" s="17" t="s">
        <v>15</v>
      </c>
      <c r="H57" s="30">
        <f>193800+25000+2100+33000+52000+55423+13598.49-13598.49-2151.51</f>
        <v>359171.49</v>
      </c>
      <c r="I57" s="64">
        <f>220821.49+32927+32500+11000+6500+55423</f>
        <v>359171.49</v>
      </c>
      <c r="J57" s="72">
        <f t="shared" si="0"/>
        <v>100</v>
      </c>
    </row>
    <row r="58" spans="2:10" ht="26.25">
      <c r="B58" s="13" t="s">
        <v>40</v>
      </c>
      <c r="C58" s="60">
        <v>944</v>
      </c>
      <c r="D58" s="17" t="s">
        <v>6</v>
      </c>
      <c r="E58" s="49" t="s">
        <v>31</v>
      </c>
      <c r="F58" s="45" t="s">
        <v>143</v>
      </c>
      <c r="G58" s="17" t="s">
        <v>8</v>
      </c>
      <c r="H58" s="30">
        <v>198547.52</v>
      </c>
      <c r="I58" s="64">
        <v>198547.52</v>
      </c>
      <c r="J58" s="72">
        <f t="shared" si="0"/>
        <v>100</v>
      </c>
    </row>
    <row r="59" spans="2:10" ht="26.25">
      <c r="B59" s="13" t="s">
        <v>40</v>
      </c>
      <c r="C59" s="60">
        <v>944</v>
      </c>
      <c r="D59" s="17" t="s">
        <v>6</v>
      </c>
      <c r="E59" s="49" t="s">
        <v>31</v>
      </c>
      <c r="F59" s="45" t="s">
        <v>57</v>
      </c>
      <c r="G59" s="17" t="s">
        <v>8</v>
      </c>
      <c r="H59" s="30">
        <f>721458.28+37631.24</f>
        <v>759089.52</v>
      </c>
      <c r="I59" s="64">
        <f>333637.9+18000+70551.6+35390+3300+39440+24026+7025-6112+15723+144218.34+15305+3590+3150+14213.44</f>
        <v>721458.2799999999</v>
      </c>
      <c r="J59" s="72">
        <f t="shared" si="0"/>
        <v>95.04258206594656</v>
      </c>
    </row>
    <row r="60" spans="2:10" ht="12.75">
      <c r="B60" s="13" t="s">
        <v>48</v>
      </c>
      <c r="C60" s="60">
        <v>944</v>
      </c>
      <c r="D60" s="17" t="s">
        <v>6</v>
      </c>
      <c r="E60" s="49" t="s">
        <v>31</v>
      </c>
      <c r="F60" s="45" t="s">
        <v>57</v>
      </c>
      <c r="G60" s="17" t="s">
        <v>16</v>
      </c>
      <c r="H60" s="34">
        <f>8454+1311.82</f>
        <v>9765.82</v>
      </c>
      <c r="I60" s="64">
        <f>8454+1311.82</f>
        <v>9765.82</v>
      </c>
      <c r="J60" s="72">
        <f t="shared" si="0"/>
        <v>100</v>
      </c>
    </row>
    <row r="61" spans="2:10" ht="12.75">
      <c r="B61" s="13" t="s">
        <v>49</v>
      </c>
      <c r="C61" s="60">
        <v>944</v>
      </c>
      <c r="D61" s="17" t="s">
        <v>6</v>
      </c>
      <c r="E61" s="49" t="s">
        <v>31</v>
      </c>
      <c r="F61" s="45" t="s">
        <v>57</v>
      </c>
      <c r="G61" s="17" t="s">
        <v>50</v>
      </c>
      <c r="H61" s="34">
        <f>3522.55+25527.25</f>
        <v>29049.8</v>
      </c>
      <c r="I61" s="64">
        <f>3322.55+3.38+81.09-34.23+25677.01</f>
        <v>29049.8</v>
      </c>
      <c r="J61" s="72">
        <f t="shared" si="0"/>
        <v>100</v>
      </c>
    </row>
    <row r="62" spans="2:10" ht="1.5" customHeight="1">
      <c r="B62" s="11"/>
      <c r="C62" s="60">
        <v>944</v>
      </c>
      <c r="D62" s="17"/>
      <c r="E62" s="49"/>
      <c r="F62" s="20"/>
      <c r="G62" s="20"/>
      <c r="H62" s="35"/>
      <c r="I62" s="35"/>
      <c r="J62" s="72"/>
    </row>
    <row r="63" spans="2:10" ht="12.75">
      <c r="B63" s="54" t="s">
        <v>108</v>
      </c>
      <c r="C63" s="60">
        <v>944</v>
      </c>
      <c r="D63" s="15" t="s">
        <v>23</v>
      </c>
      <c r="E63" s="49" t="s">
        <v>4</v>
      </c>
      <c r="F63" s="39" t="s">
        <v>141</v>
      </c>
      <c r="G63" s="15" t="s">
        <v>159</v>
      </c>
      <c r="H63" s="31">
        <f>H64</f>
        <v>271100</v>
      </c>
      <c r="I63" s="65">
        <f>I64</f>
        <v>271100</v>
      </c>
      <c r="J63" s="72">
        <f t="shared" si="0"/>
        <v>100</v>
      </c>
    </row>
    <row r="64" spans="2:10" ht="12.75">
      <c r="B64" s="53" t="s">
        <v>1</v>
      </c>
      <c r="C64" s="60">
        <v>944</v>
      </c>
      <c r="D64" s="21" t="s">
        <v>23</v>
      </c>
      <c r="E64" s="49" t="s">
        <v>4</v>
      </c>
      <c r="F64" s="46" t="s">
        <v>61</v>
      </c>
      <c r="G64" s="21" t="s">
        <v>159</v>
      </c>
      <c r="H64" s="28">
        <f>H65+H69</f>
        <v>271100</v>
      </c>
      <c r="I64" s="62">
        <f>I65+I69</f>
        <v>271100</v>
      </c>
      <c r="J64" s="72">
        <f t="shared" si="0"/>
        <v>100</v>
      </c>
    </row>
    <row r="65" spans="2:10" ht="13.5">
      <c r="B65" s="55" t="s">
        <v>80</v>
      </c>
      <c r="C65" s="60">
        <v>944</v>
      </c>
      <c r="D65" s="16" t="s">
        <v>23</v>
      </c>
      <c r="E65" s="49" t="s">
        <v>4</v>
      </c>
      <c r="F65" s="40" t="s">
        <v>61</v>
      </c>
      <c r="G65" s="16" t="s">
        <v>159</v>
      </c>
      <c r="H65" s="32">
        <f>H66+H67+H68</f>
        <v>265100</v>
      </c>
      <c r="I65" s="66">
        <f>I66+I67+I68</f>
        <v>265100</v>
      </c>
      <c r="J65" s="72">
        <f t="shared" si="0"/>
        <v>100</v>
      </c>
    </row>
    <row r="66" spans="2:10" ht="26.25">
      <c r="B66" s="13" t="s">
        <v>41</v>
      </c>
      <c r="C66" s="60">
        <v>944</v>
      </c>
      <c r="D66" s="17" t="s">
        <v>23</v>
      </c>
      <c r="E66" s="49" t="s">
        <v>4</v>
      </c>
      <c r="F66" s="41" t="s">
        <v>61</v>
      </c>
      <c r="G66" s="17" t="s">
        <v>11</v>
      </c>
      <c r="H66" s="30">
        <f>198000-1403.5</f>
        <v>196596.5</v>
      </c>
      <c r="I66" s="64">
        <f>52779.42+16500+11500+5000+5000+11500+9928.57+16500+46674.22+4714.29+16500</f>
        <v>196596.5</v>
      </c>
      <c r="J66" s="72">
        <f t="shared" si="0"/>
        <v>100</v>
      </c>
    </row>
    <row r="67" spans="2:10" ht="39">
      <c r="B67" s="13" t="s">
        <v>102</v>
      </c>
      <c r="C67" s="60">
        <v>944</v>
      </c>
      <c r="D67" s="17" t="s">
        <v>23</v>
      </c>
      <c r="E67" s="49" t="s">
        <v>4</v>
      </c>
      <c r="F67" s="41" t="s">
        <v>61</v>
      </c>
      <c r="G67" s="17" t="s">
        <v>12</v>
      </c>
      <c r="H67" s="30">
        <f>11100-4000+1403.5+627.83</f>
        <v>9131.33</v>
      </c>
      <c r="I67" s="64">
        <f>198+198+198+792+7745.33</f>
        <v>9131.33</v>
      </c>
      <c r="J67" s="72">
        <f t="shared" si="0"/>
        <v>100</v>
      </c>
    </row>
    <row r="68" spans="2:10" ht="52.5">
      <c r="B68" s="13" t="s">
        <v>46</v>
      </c>
      <c r="C68" s="60">
        <v>944</v>
      </c>
      <c r="D68" s="17" t="s">
        <v>23</v>
      </c>
      <c r="E68" s="49" t="s">
        <v>4</v>
      </c>
      <c r="F68" s="41" t="s">
        <v>61</v>
      </c>
      <c r="G68" s="17" t="s">
        <v>45</v>
      </c>
      <c r="H68" s="30">
        <f>60000-627.83</f>
        <v>59372.17</v>
      </c>
      <c r="I68" s="64">
        <f>14429.38+4983.01+4983.01+4983+4508.44+4983+14095.61+1423.72+4983</f>
        <v>59372.170000000006</v>
      </c>
      <c r="J68" s="72">
        <f t="shared" si="0"/>
        <v>100.00000000000003</v>
      </c>
    </row>
    <row r="69" spans="2:10" ht="13.5">
      <c r="B69" s="55" t="s">
        <v>81</v>
      </c>
      <c r="C69" s="60">
        <v>944</v>
      </c>
      <c r="D69" s="16" t="s">
        <v>23</v>
      </c>
      <c r="E69" s="49" t="s">
        <v>4</v>
      </c>
      <c r="F69" s="40" t="s">
        <v>61</v>
      </c>
      <c r="G69" s="16" t="s">
        <v>159</v>
      </c>
      <c r="H69" s="32">
        <f>H70</f>
        <v>6000</v>
      </c>
      <c r="I69" s="66">
        <f>I70</f>
        <v>6000</v>
      </c>
      <c r="J69" s="72">
        <f t="shared" si="0"/>
        <v>100</v>
      </c>
    </row>
    <row r="70" spans="2:10" ht="26.25">
      <c r="B70" s="13" t="s">
        <v>40</v>
      </c>
      <c r="C70" s="60">
        <v>944</v>
      </c>
      <c r="D70" s="17" t="s">
        <v>23</v>
      </c>
      <c r="E70" s="49" t="s">
        <v>4</v>
      </c>
      <c r="F70" s="41" t="s">
        <v>61</v>
      </c>
      <c r="G70" s="17" t="s">
        <v>8</v>
      </c>
      <c r="H70" s="30">
        <f>2000+4000</f>
        <v>6000</v>
      </c>
      <c r="I70" s="64">
        <v>6000</v>
      </c>
      <c r="J70" s="72">
        <f t="shared" si="0"/>
        <v>100</v>
      </c>
    </row>
    <row r="71" spans="2:10" ht="1.5" customHeight="1">
      <c r="B71" s="11"/>
      <c r="C71" s="60"/>
      <c r="D71" s="17"/>
      <c r="E71" s="49"/>
      <c r="F71" s="20"/>
      <c r="G71" s="20"/>
      <c r="H71" s="35"/>
      <c r="I71" s="35"/>
      <c r="J71" s="72"/>
    </row>
    <row r="72" spans="2:10" ht="39">
      <c r="B72" s="54" t="s">
        <v>109</v>
      </c>
      <c r="C72" s="60"/>
      <c r="D72" s="15" t="s">
        <v>4</v>
      </c>
      <c r="E72" s="49" t="s">
        <v>27</v>
      </c>
      <c r="F72" s="39" t="s">
        <v>141</v>
      </c>
      <c r="G72" s="15" t="s">
        <v>159</v>
      </c>
      <c r="H72" s="31">
        <f>H73</f>
        <v>0</v>
      </c>
      <c r="I72" s="65">
        <f>I73</f>
        <v>0</v>
      </c>
      <c r="J72" s="72">
        <v>0</v>
      </c>
    </row>
    <row r="73" spans="2:10" ht="13.5">
      <c r="B73" s="55" t="s">
        <v>81</v>
      </c>
      <c r="C73" s="60"/>
      <c r="D73" s="16" t="s">
        <v>4</v>
      </c>
      <c r="E73" s="49" t="s">
        <v>27</v>
      </c>
      <c r="F73" s="40" t="s">
        <v>145</v>
      </c>
      <c r="G73" s="16" t="s">
        <v>159</v>
      </c>
      <c r="H73" s="29">
        <f>H74</f>
        <v>0</v>
      </c>
      <c r="I73" s="63">
        <f>I74</f>
        <v>0</v>
      </c>
      <c r="J73" s="72">
        <v>0</v>
      </c>
    </row>
    <row r="74" spans="2:10" ht="26.25">
      <c r="B74" s="13" t="s">
        <v>89</v>
      </c>
      <c r="C74" s="60"/>
      <c r="D74" s="17" t="s">
        <v>4</v>
      </c>
      <c r="E74" s="49" t="s">
        <v>27</v>
      </c>
      <c r="F74" s="41" t="s">
        <v>145</v>
      </c>
      <c r="G74" s="17" t="s">
        <v>8</v>
      </c>
      <c r="H74" s="30">
        <v>0</v>
      </c>
      <c r="I74" s="64">
        <v>0</v>
      </c>
      <c r="J74" s="72">
        <v>0</v>
      </c>
    </row>
    <row r="75" spans="2:10" ht="3" customHeight="1">
      <c r="B75" s="11"/>
      <c r="C75" s="60"/>
      <c r="D75" s="50"/>
      <c r="E75" s="49"/>
      <c r="F75" s="18"/>
      <c r="G75" s="18"/>
      <c r="H75" s="18"/>
      <c r="I75" s="18"/>
      <c r="J75" s="72"/>
    </row>
    <row r="76" spans="2:10" ht="12.75">
      <c r="B76" s="53" t="s">
        <v>110</v>
      </c>
      <c r="C76" s="60">
        <v>944</v>
      </c>
      <c r="D76" s="21" t="s">
        <v>5</v>
      </c>
      <c r="E76" s="49" t="s">
        <v>27</v>
      </c>
      <c r="F76" s="39" t="s">
        <v>141</v>
      </c>
      <c r="G76" s="21" t="s">
        <v>159</v>
      </c>
      <c r="H76" s="28">
        <f>H77</f>
        <v>417797.59</v>
      </c>
      <c r="I76" s="62">
        <f>I77</f>
        <v>0</v>
      </c>
      <c r="J76" s="72">
        <f t="shared" si="0"/>
        <v>0</v>
      </c>
    </row>
    <row r="77" spans="2:10" ht="12.75">
      <c r="B77" s="11" t="s">
        <v>111</v>
      </c>
      <c r="C77" s="60">
        <v>944</v>
      </c>
      <c r="D77" s="17" t="s">
        <v>5</v>
      </c>
      <c r="E77" s="49" t="s">
        <v>27</v>
      </c>
      <c r="F77" s="41" t="s">
        <v>62</v>
      </c>
      <c r="G77" s="17" t="s">
        <v>159</v>
      </c>
      <c r="H77" s="30">
        <f>H78</f>
        <v>417797.59</v>
      </c>
      <c r="I77" s="64">
        <v>0</v>
      </c>
      <c r="J77" s="72">
        <f t="shared" si="0"/>
        <v>0</v>
      </c>
    </row>
    <row r="78" spans="2:10" ht="13.5">
      <c r="B78" s="55" t="s">
        <v>81</v>
      </c>
      <c r="C78" s="60">
        <v>944</v>
      </c>
      <c r="D78" s="16" t="s">
        <v>5</v>
      </c>
      <c r="E78" s="49" t="s">
        <v>27</v>
      </c>
      <c r="F78" s="40" t="s">
        <v>146</v>
      </c>
      <c r="G78" s="16" t="s">
        <v>159</v>
      </c>
      <c r="H78" s="29">
        <f>H79</f>
        <v>417797.59</v>
      </c>
      <c r="I78" s="63">
        <f>I79</f>
        <v>0</v>
      </c>
      <c r="J78" s="72">
        <f aca="true" t="shared" si="1" ref="J78:J141">I78/H78*100</f>
        <v>0</v>
      </c>
    </row>
    <row r="79" spans="2:10" ht="26.25">
      <c r="B79" s="13" t="s">
        <v>89</v>
      </c>
      <c r="C79" s="60">
        <v>944</v>
      </c>
      <c r="D79" s="17" t="s">
        <v>5</v>
      </c>
      <c r="E79" s="49" t="s">
        <v>27</v>
      </c>
      <c r="F79" s="41" t="s">
        <v>62</v>
      </c>
      <c r="G79" s="17" t="s">
        <v>8</v>
      </c>
      <c r="H79" s="30">
        <v>417797.59</v>
      </c>
      <c r="I79" s="64">
        <v>0</v>
      </c>
      <c r="J79" s="72">
        <f t="shared" si="1"/>
        <v>0</v>
      </c>
    </row>
    <row r="80" spans="2:10" ht="1.5" customHeight="1">
      <c r="B80" s="11"/>
      <c r="C80" s="60">
        <v>944</v>
      </c>
      <c r="D80" s="50"/>
      <c r="E80" s="49"/>
      <c r="F80" s="18"/>
      <c r="G80" s="18"/>
      <c r="H80" s="18"/>
      <c r="I80" s="18"/>
      <c r="J80" s="72"/>
    </row>
    <row r="81" spans="2:10" ht="26.25">
      <c r="B81" s="53" t="s">
        <v>112</v>
      </c>
      <c r="C81" s="60">
        <v>944</v>
      </c>
      <c r="D81" s="21" t="s">
        <v>5</v>
      </c>
      <c r="E81" s="49" t="s">
        <v>63</v>
      </c>
      <c r="F81" s="39" t="s">
        <v>141</v>
      </c>
      <c r="G81" s="21" t="s">
        <v>159</v>
      </c>
      <c r="H81" s="28">
        <f aca="true" t="shared" si="2" ref="H81:I83">H82</f>
        <v>0</v>
      </c>
      <c r="I81" s="62">
        <f t="shared" si="2"/>
        <v>0</v>
      </c>
      <c r="J81" s="72">
        <v>0</v>
      </c>
    </row>
    <row r="82" spans="2:10" ht="26.25">
      <c r="B82" s="11" t="s">
        <v>113</v>
      </c>
      <c r="C82" s="60">
        <v>944</v>
      </c>
      <c r="D82" s="17" t="s">
        <v>5</v>
      </c>
      <c r="E82" s="49" t="s">
        <v>63</v>
      </c>
      <c r="F82" s="41" t="s">
        <v>64</v>
      </c>
      <c r="G82" s="17" t="s">
        <v>159</v>
      </c>
      <c r="H82" s="30">
        <f t="shared" si="2"/>
        <v>0</v>
      </c>
      <c r="I82" s="64">
        <f t="shared" si="2"/>
        <v>0</v>
      </c>
      <c r="J82" s="72">
        <v>0</v>
      </c>
    </row>
    <row r="83" spans="2:10" ht="13.5">
      <c r="B83" s="55" t="s">
        <v>81</v>
      </c>
      <c r="C83" s="60">
        <v>944</v>
      </c>
      <c r="D83" s="16" t="s">
        <v>5</v>
      </c>
      <c r="E83" s="49" t="s">
        <v>63</v>
      </c>
      <c r="F83" s="40" t="s">
        <v>64</v>
      </c>
      <c r="G83" s="16" t="s">
        <v>159</v>
      </c>
      <c r="H83" s="29">
        <f t="shared" si="2"/>
        <v>0</v>
      </c>
      <c r="I83" s="63">
        <f t="shared" si="2"/>
        <v>0</v>
      </c>
      <c r="J83" s="72">
        <v>0</v>
      </c>
    </row>
    <row r="84" spans="2:10" ht="26.25">
      <c r="B84" s="13" t="s">
        <v>89</v>
      </c>
      <c r="C84" s="60">
        <v>944</v>
      </c>
      <c r="D84" s="17" t="s">
        <v>5</v>
      </c>
      <c r="E84" s="49" t="s">
        <v>63</v>
      </c>
      <c r="F84" s="41" t="s">
        <v>64</v>
      </c>
      <c r="G84" s="17" t="s">
        <v>8</v>
      </c>
      <c r="H84" s="30">
        <v>0</v>
      </c>
      <c r="I84" s="64">
        <v>0</v>
      </c>
      <c r="J84" s="72">
        <v>0</v>
      </c>
    </row>
    <row r="85" spans="2:10" ht="2.25" customHeight="1">
      <c r="B85" s="11"/>
      <c r="C85" s="60">
        <v>944</v>
      </c>
      <c r="D85" s="50"/>
      <c r="E85" s="49"/>
      <c r="F85" s="18"/>
      <c r="G85" s="18"/>
      <c r="H85" s="18"/>
      <c r="I85" s="18"/>
      <c r="J85" s="72"/>
    </row>
    <row r="86" spans="2:10" ht="12.75">
      <c r="B86" s="53" t="s">
        <v>114</v>
      </c>
      <c r="C86" s="60">
        <v>944</v>
      </c>
      <c r="D86" s="21" t="s">
        <v>28</v>
      </c>
      <c r="E86" s="49" t="s">
        <v>163</v>
      </c>
      <c r="F86" s="39" t="s">
        <v>141</v>
      </c>
      <c r="G86" s="21" t="s">
        <v>159</v>
      </c>
      <c r="H86" s="28">
        <f>H87+H97+H107</f>
        <v>3790976.34</v>
      </c>
      <c r="I86" s="62">
        <f>I87+I97+I107</f>
        <v>3475976.34</v>
      </c>
      <c r="J86" s="72">
        <f t="shared" si="1"/>
        <v>91.69079488372644</v>
      </c>
    </row>
    <row r="87" spans="2:10" ht="13.5">
      <c r="B87" s="57" t="s">
        <v>82</v>
      </c>
      <c r="C87" s="60">
        <v>944</v>
      </c>
      <c r="D87" s="22" t="s">
        <v>28</v>
      </c>
      <c r="E87" s="49" t="s">
        <v>6</v>
      </c>
      <c r="F87" s="40" t="s">
        <v>141</v>
      </c>
      <c r="G87" s="22" t="s">
        <v>159</v>
      </c>
      <c r="H87" s="32">
        <f>H88+H90+H92+H94</f>
        <v>350000</v>
      </c>
      <c r="I87" s="66">
        <f>I88+I90+I92+I94</f>
        <v>100000</v>
      </c>
      <c r="J87" s="72">
        <f t="shared" si="1"/>
        <v>28.57142857142857</v>
      </c>
    </row>
    <row r="88" spans="2:10" ht="26.25">
      <c r="B88" s="53" t="s">
        <v>83</v>
      </c>
      <c r="C88" s="60">
        <v>944</v>
      </c>
      <c r="D88" s="21" t="s">
        <v>28</v>
      </c>
      <c r="E88" s="49" t="s">
        <v>6</v>
      </c>
      <c r="F88" s="46" t="s">
        <v>84</v>
      </c>
      <c r="G88" s="21" t="s">
        <v>159</v>
      </c>
      <c r="H88" s="28">
        <f>H89</f>
        <v>0</v>
      </c>
      <c r="I88" s="62">
        <f>I89</f>
        <v>0</v>
      </c>
      <c r="J88" s="72">
        <v>0</v>
      </c>
    </row>
    <row r="89" spans="2:10" ht="26.25">
      <c r="B89" s="13" t="s">
        <v>40</v>
      </c>
      <c r="C89" s="60">
        <v>944</v>
      </c>
      <c r="D89" s="17" t="s">
        <v>28</v>
      </c>
      <c r="E89" s="49" t="s">
        <v>6</v>
      </c>
      <c r="F89" s="41" t="s">
        <v>84</v>
      </c>
      <c r="G89" s="17" t="s">
        <v>8</v>
      </c>
      <c r="H89" s="30">
        <f>662800-662800</f>
        <v>0</v>
      </c>
      <c r="I89" s="64">
        <v>0</v>
      </c>
      <c r="J89" s="72">
        <v>0</v>
      </c>
    </row>
    <row r="90" spans="2:10" ht="26.25">
      <c r="B90" s="53" t="s">
        <v>85</v>
      </c>
      <c r="C90" s="60">
        <v>944</v>
      </c>
      <c r="D90" s="21" t="s">
        <v>28</v>
      </c>
      <c r="E90" s="49" t="s">
        <v>6</v>
      </c>
      <c r="F90" s="46" t="s">
        <v>86</v>
      </c>
      <c r="G90" s="21" t="s">
        <v>159</v>
      </c>
      <c r="H90" s="28">
        <f>H91</f>
        <v>100000</v>
      </c>
      <c r="I90" s="62">
        <f>I91</f>
        <v>100000</v>
      </c>
      <c r="J90" s="72">
        <f t="shared" si="1"/>
        <v>100</v>
      </c>
    </row>
    <row r="91" spans="2:10" ht="26.25">
      <c r="B91" s="13" t="s">
        <v>40</v>
      </c>
      <c r="C91" s="60">
        <v>944</v>
      </c>
      <c r="D91" s="17" t="s">
        <v>28</v>
      </c>
      <c r="E91" s="49" t="s">
        <v>6</v>
      </c>
      <c r="F91" s="41" t="s">
        <v>86</v>
      </c>
      <c r="G91" s="17" t="s">
        <v>8</v>
      </c>
      <c r="H91" s="30">
        <v>100000</v>
      </c>
      <c r="I91" s="64">
        <f>100000</f>
        <v>100000</v>
      </c>
      <c r="J91" s="72">
        <f t="shared" si="1"/>
        <v>100</v>
      </c>
    </row>
    <row r="92" spans="2:10" ht="39">
      <c r="B92" s="53" t="s">
        <v>115</v>
      </c>
      <c r="C92" s="60">
        <v>944</v>
      </c>
      <c r="D92" s="21" t="s">
        <v>28</v>
      </c>
      <c r="E92" s="49" t="s">
        <v>6</v>
      </c>
      <c r="F92" s="46" t="s">
        <v>86</v>
      </c>
      <c r="G92" s="21" t="s">
        <v>159</v>
      </c>
      <c r="H92" s="28">
        <f>H93</f>
        <v>250000</v>
      </c>
      <c r="I92" s="62">
        <f>I93</f>
        <v>0</v>
      </c>
      <c r="J92" s="72">
        <f t="shared" si="1"/>
        <v>0</v>
      </c>
    </row>
    <row r="93" spans="2:10" ht="26.25">
      <c r="B93" s="13" t="s">
        <v>40</v>
      </c>
      <c r="C93" s="60">
        <v>944</v>
      </c>
      <c r="D93" s="17" t="s">
        <v>28</v>
      </c>
      <c r="E93" s="49" t="s">
        <v>6</v>
      </c>
      <c r="F93" s="41" t="s">
        <v>86</v>
      </c>
      <c r="G93" s="17" t="s">
        <v>8</v>
      </c>
      <c r="H93" s="30">
        <v>250000</v>
      </c>
      <c r="I93" s="64">
        <v>0</v>
      </c>
      <c r="J93" s="72">
        <f t="shared" si="1"/>
        <v>0</v>
      </c>
    </row>
    <row r="94" spans="2:10" ht="52.5">
      <c r="B94" s="53" t="s">
        <v>116</v>
      </c>
      <c r="C94" s="60">
        <v>944</v>
      </c>
      <c r="D94" s="21" t="s">
        <v>28</v>
      </c>
      <c r="E94" s="49" t="s">
        <v>6</v>
      </c>
      <c r="F94" s="46" t="s">
        <v>51</v>
      </c>
      <c r="G94" s="21" t="s">
        <v>159</v>
      </c>
      <c r="H94" s="28">
        <f>H95</f>
        <v>0</v>
      </c>
      <c r="I94" s="62">
        <f>I95</f>
        <v>0</v>
      </c>
      <c r="J94" s="72">
        <v>0</v>
      </c>
    </row>
    <row r="95" spans="2:10" ht="26.25">
      <c r="B95" s="13" t="s">
        <v>89</v>
      </c>
      <c r="C95" s="60">
        <v>944</v>
      </c>
      <c r="D95" s="17" t="s">
        <v>28</v>
      </c>
      <c r="E95" s="49" t="s">
        <v>6</v>
      </c>
      <c r="F95" s="41" t="s">
        <v>51</v>
      </c>
      <c r="G95" s="17" t="s">
        <v>8</v>
      </c>
      <c r="H95" s="30">
        <v>0</v>
      </c>
      <c r="I95" s="64">
        <v>0</v>
      </c>
      <c r="J95" s="72">
        <v>0</v>
      </c>
    </row>
    <row r="96" spans="2:10" ht="3" customHeight="1">
      <c r="B96" s="11"/>
      <c r="C96" s="60">
        <v>944</v>
      </c>
      <c r="D96" s="50"/>
      <c r="E96" s="49"/>
      <c r="F96" s="18"/>
      <c r="G96" s="18"/>
      <c r="H96" s="18"/>
      <c r="I96" s="18"/>
      <c r="J96" s="72"/>
    </row>
    <row r="97" spans="2:10" ht="13.5">
      <c r="B97" s="57" t="s">
        <v>13</v>
      </c>
      <c r="C97" s="60">
        <v>944</v>
      </c>
      <c r="D97" s="22" t="s">
        <v>28</v>
      </c>
      <c r="E97" s="49" t="s">
        <v>23</v>
      </c>
      <c r="F97" s="47" t="s">
        <v>141</v>
      </c>
      <c r="G97" s="22" t="s">
        <v>159</v>
      </c>
      <c r="H97" s="32">
        <f>H98+H104+H100+H102</f>
        <v>3242382.28</v>
      </c>
      <c r="I97" s="66">
        <f>I98+I104+I100+I102</f>
        <v>3242382.28</v>
      </c>
      <c r="J97" s="72">
        <f t="shared" si="1"/>
        <v>100</v>
      </c>
    </row>
    <row r="98" spans="2:10" ht="26.25">
      <c r="B98" s="53" t="s">
        <v>117</v>
      </c>
      <c r="C98" s="60">
        <v>944</v>
      </c>
      <c r="D98" s="21" t="s">
        <v>28</v>
      </c>
      <c r="E98" s="49" t="s">
        <v>23</v>
      </c>
      <c r="F98" s="39" t="s">
        <v>52</v>
      </c>
      <c r="G98" s="21" t="s">
        <v>159</v>
      </c>
      <c r="H98" s="28">
        <f>H99</f>
        <v>0</v>
      </c>
      <c r="I98" s="62">
        <f>I99</f>
        <v>0</v>
      </c>
      <c r="J98" s="72">
        <v>0</v>
      </c>
    </row>
    <row r="99" spans="2:10" ht="26.25">
      <c r="B99" s="13" t="s">
        <v>89</v>
      </c>
      <c r="C99" s="60">
        <v>944</v>
      </c>
      <c r="D99" s="17" t="s">
        <v>28</v>
      </c>
      <c r="E99" s="49" t="s">
        <v>23</v>
      </c>
      <c r="F99" s="42" t="s">
        <v>52</v>
      </c>
      <c r="G99" s="17" t="s">
        <v>8</v>
      </c>
      <c r="H99" s="30">
        <v>0</v>
      </c>
      <c r="I99" s="64">
        <v>0</v>
      </c>
      <c r="J99" s="72">
        <v>0</v>
      </c>
    </row>
    <row r="100" spans="2:10" ht="66">
      <c r="B100" s="58" t="s">
        <v>118</v>
      </c>
      <c r="C100" s="60">
        <v>944</v>
      </c>
      <c r="D100" s="21" t="s">
        <v>28</v>
      </c>
      <c r="E100" s="49" t="s">
        <v>23</v>
      </c>
      <c r="F100" s="39" t="s">
        <v>147</v>
      </c>
      <c r="G100" s="21" t="s">
        <v>159</v>
      </c>
      <c r="H100" s="28">
        <f>H101</f>
        <v>2588080</v>
      </c>
      <c r="I100" s="62">
        <f>I101</f>
        <v>2588080</v>
      </c>
      <c r="J100" s="72">
        <f t="shared" si="1"/>
        <v>100</v>
      </c>
    </row>
    <row r="101" spans="2:10" ht="52.5">
      <c r="B101" s="13" t="s">
        <v>119</v>
      </c>
      <c r="C101" s="60">
        <v>944</v>
      </c>
      <c r="D101" s="17" t="s">
        <v>28</v>
      </c>
      <c r="E101" s="49" t="s">
        <v>23</v>
      </c>
      <c r="F101" s="42" t="s">
        <v>147</v>
      </c>
      <c r="G101" s="17" t="s">
        <v>161</v>
      </c>
      <c r="H101" s="30">
        <v>2588080</v>
      </c>
      <c r="I101" s="64">
        <f>2588080</f>
        <v>2588080</v>
      </c>
      <c r="J101" s="72">
        <f t="shared" si="1"/>
        <v>100</v>
      </c>
    </row>
    <row r="102" spans="2:10" ht="78.75">
      <c r="B102" s="58" t="s">
        <v>120</v>
      </c>
      <c r="C102" s="60">
        <v>944</v>
      </c>
      <c r="D102" s="21" t="s">
        <v>28</v>
      </c>
      <c r="E102" s="49" t="s">
        <v>23</v>
      </c>
      <c r="F102" s="39" t="s">
        <v>148</v>
      </c>
      <c r="G102" s="21" t="s">
        <v>159</v>
      </c>
      <c r="H102" s="28">
        <f>H103</f>
        <v>647020</v>
      </c>
      <c r="I102" s="62">
        <f>I103</f>
        <v>647020</v>
      </c>
      <c r="J102" s="72">
        <f t="shared" si="1"/>
        <v>100</v>
      </c>
    </row>
    <row r="103" spans="2:10" ht="52.5">
      <c r="B103" s="13" t="s">
        <v>119</v>
      </c>
      <c r="C103" s="60">
        <v>944</v>
      </c>
      <c r="D103" s="17" t="s">
        <v>28</v>
      </c>
      <c r="E103" s="49" t="s">
        <v>23</v>
      </c>
      <c r="F103" s="42" t="s">
        <v>148</v>
      </c>
      <c r="G103" s="17" t="s">
        <v>161</v>
      </c>
      <c r="H103" s="30">
        <v>647020</v>
      </c>
      <c r="I103" s="64">
        <f>647020</f>
        <v>647020</v>
      </c>
      <c r="J103" s="72">
        <f t="shared" si="1"/>
        <v>100</v>
      </c>
    </row>
    <row r="104" spans="2:10" ht="13.5">
      <c r="B104" s="55" t="s">
        <v>121</v>
      </c>
      <c r="C104" s="60">
        <v>944</v>
      </c>
      <c r="D104" s="16" t="s">
        <v>28</v>
      </c>
      <c r="E104" s="49" t="s">
        <v>23</v>
      </c>
      <c r="F104" s="47" t="s">
        <v>141</v>
      </c>
      <c r="G104" s="16" t="s">
        <v>159</v>
      </c>
      <c r="H104" s="29">
        <f>H105+H106</f>
        <v>7282.28</v>
      </c>
      <c r="I104" s="63">
        <f>I105+I106</f>
        <v>7282.28</v>
      </c>
      <c r="J104" s="72">
        <f t="shared" si="1"/>
        <v>100</v>
      </c>
    </row>
    <row r="105" spans="2:10" ht="39">
      <c r="B105" s="13" t="s">
        <v>122</v>
      </c>
      <c r="C105" s="60">
        <v>944</v>
      </c>
      <c r="D105" s="17" t="s">
        <v>28</v>
      </c>
      <c r="E105" s="49" t="s">
        <v>23</v>
      </c>
      <c r="F105" s="42" t="s">
        <v>74</v>
      </c>
      <c r="G105" s="17" t="s">
        <v>8</v>
      </c>
      <c r="H105" s="30">
        <v>7282.28</v>
      </c>
      <c r="I105" s="64">
        <v>7282.28</v>
      </c>
      <c r="J105" s="72">
        <f t="shared" si="1"/>
        <v>100</v>
      </c>
    </row>
    <row r="106" spans="2:10" ht="12.75">
      <c r="B106" s="11"/>
      <c r="C106" s="60">
        <v>944</v>
      </c>
      <c r="D106" s="50"/>
      <c r="E106" s="49"/>
      <c r="F106" s="18"/>
      <c r="G106" s="18"/>
      <c r="H106" s="18"/>
      <c r="I106" s="18"/>
      <c r="J106" s="72"/>
    </row>
    <row r="107" spans="2:10" ht="12.75">
      <c r="B107" s="54" t="s">
        <v>2</v>
      </c>
      <c r="C107" s="60">
        <v>944</v>
      </c>
      <c r="D107" s="23" t="s">
        <v>28</v>
      </c>
      <c r="E107" s="49" t="s">
        <v>4</v>
      </c>
      <c r="F107" s="48" t="s">
        <v>141</v>
      </c>
      <c r="G107" s="23" t="s">
        <v>159</v>
      </c>
      <c r="H107" s="36">
        <f>H108</f>
        <v>198594.06</v>
      </c>
      <c r="I107" s="68">
        <f>I108</f>
        <v>133594.06</v>
      </c>
      <c r="J107" s="72">
        <f t="shared" si="1"/>
        <v>67.26991733791031</v>
      </c>
    </row>
    <row r="108" spans="2:10" ht="13.5">
      <c r="B108" s="55" t="s">
        <v>80</v>
      </c>
      <c r="C108" s="60">
        <v>944</v>
      </c>
      <c r="D108" s="16" t="s">
        <v>28</v>
      </c>
      <c r="E108" s="49" t="s">
        <v>4</v>
      </c>
      <c r="F108" s="47" t="s">
        <v>141</v>
      </c>
      <c r="G108" s="22" t="s">
        <v>159</v>
      </c>
      <c r="H108" s="29">
        <f>H109+H111+H113+H116</f>
        <v>198594.06</v>
      </c>
      <c r="I108" s="63">
        <f>I109+I111+I113+I116</f>
        <v>133594.06</v>
      </c>
      <c r="J108" s="72">
        <f t="shared" si="1"/>
        <v>67.26991733791031</v>
      </c>
    </row>
    <row r="109" spans="2:10" ht="27">
      <c r="B109" s="55" t="s">
        <v>123</v>
      </c>
      <c r="C109" s="60">
        <v>944</v>
      </c>
      <c r="D109" s="16" t="s">
        <v>28</v>
      </c>
      <c r="E109" s="49" t="s">
        <v>4</v>
      </c>
      <c r="F109" s="40" t="s">
        <v>53</v>
      </c>
      <c r="G109" s="16" t="s">
        <v>159</v>
      </c>
      <c r="H109" s="29">
        <f>H110</f>
        <v>0</v>
      </c>
      <c r="I109" s="63">
        <v>0</v>
      </c>
      <c r="J109" s="72">
        <v>0</v>
      </c>
    </row>
    <row r="110" spans="2:10" ht="26.25">
      <c r="B110" s="13" t="s">
        <v>89</v>
      </c>
      <c r="C110" s="60">
        <v>944</v>
      </c>
      <c r="D110" s="17" t="s">
        <v>28</v>
      </c>
      <c r="E110" s="49" t="s">
        <v>4</v>
      </c>
      <c r="F110" s="41" t="s">
        <v>53</v>
      </c>
      <c r="G110" s="17" t="s">
        <v>8</v>
      </c>
      <c r="H110" s="30">
        <v>0</v>
      </c>
      <c r="I110" s="64">
        <v>0</v>
      </c>
      <c r="J110" s="72">
        <v>0</v>
      </c>
    </row>
    <row r="111" spans="2:10" ht="13.5">
      <c r="B111" s="55" t="s">
        <v>121</v>
      </c>
      <c r="C111" s="60">
        <v>944</v>
      </c>
      <c r="D111" s="16" t="s">
        <v>28</v>
      </c>
      <c r="E111" s="49" t="s">
        <v>4</v>
      </c>
      <c r="F111" s="47" t="s">
        <v>141</v>
      </c>
      <c r="G111" s="16" t="s">
        <v>159</v>
      </c>
      <c r="H111" s="29">
        <f>H112</f>
        <v>133594.06</v>
      </c>
      <c r="I111" s="63">
        <f>I112</f>
        <v>133594.06</v>
      </c>
      <c r="J111" s="72">
        <f t="shared" si="1"/>
        <v>100</v>
      </c>
    </row>
    <row r="112" spans="2:10" ht="39">
      <c r="B112" s="13" t="s">
        <v>124</v>
      </c>
      <c r="C112" s="60">
        <v>944</v>
      </c>
      <c r="D112" s="17" t="s">
        <v>28</v>
      </c>
      <c r="E112" s="49" t="s">
        <v>4</v>
      </c>
      <c r="F112" s="41" t="s">
        <v>65</v>
      </c>
      <c r="G112" s="17" t="s">
        <v>8</v>
      </c>
      <c r="H112" s="30">
        <f>1438+89660+42496.06</f>
        <v>133594.06</v>
      </c>
      <c r="I112" s="64">
        <f>1438+89660+42496.06</f>
        <v>133594.06</v>
      </c>
      <c r="J112" s="72">
        <f t="shared" si="1"/>
        <v>100</v>
      </c>
    </row>
    <row r="113" spans="2:10" ht="13.5">
      <c r="B113" s="55" t="s">
        <v>125</v>
      </c>
      <c r="C113" s="60">
        <v>944</v>
      </c>
      <c r="D113" s="16" t="s">
        <v>28</v>
      </c>
      <c r="E113" s="49" t="s">
        <v>4</v>
      </c>
      <c r="F113" s="47" t="s">
        <v>141</v>
      </c>
      <c r="G113" s="16" t="s">
        <v>159</v>
      </c>
      <c r="H113" s="29">
        <f>H115+H114</f>
        <v>65000</v>
      </c>
      <c r="I113" s="63">
        <f>I115+I114</f>
        <v>0</v>
      </c>
      <c r="J113" s="72">
        <f t="shared" si="1"/>
        <v>0</v>
      </c>
    </row>
    <row r="114" spans="2:10" ht="12.75">
      <c r="B114" s="13" t="s">
        <v>126</v>
      </c>
      <c r="C114" s="60">
        <v>944</v>
      </c>
      <c r="D114" s="17" t="s">
        <v>28</v>
      </c>
      <c r="E114" s="49" t="s">
        <v>4</v>
      </c>
      <c r="F114" s="41" t="s">
        <v>149</v>
      </c>
      <c r="G114" s="17" t="s">
        <v>76</v>
      </c>
      <c r="H114" s="30">
        <v>25000</v>
      </c>
      <c r="I114" s="64">
        <v>0</v>
      </c>
      <c r="J114" s="72">
        <f t="shared" si="1"/>
        <v>0</v>
      </c>
    </row>
    <row r="115" spans="2:10" ht="12.75">
      <c r="B115" s="13" t="s">
        <v>126</v>
      </c>
      <c r="C115" s="60">
        <v>944</v>
      </c>
      <c r="D115" s="17" t="s">
        <v>28</v>
      </c>
      <c r="E115" s="49" t="s">
        <v>4</v>
      </c>
      <c r="F115" s="41" t="s">
        <v>75</v>
      </c>
      <c r="G115" s="17" t="s">
        <v>76</v>
      </c>
      <c r="H115" s="30">
        <f>40000+25000-25000</f>
        <v>40000</v>
      </c>
      <c r="I115" s="64">
        <v>0</v>
      </c>
      <c r="J115" s="72">
        <f t="shared" si="1"/>
        <v>0</v>
      </c>
    </row>
    <row r="116" spans="2:10" ht="27">
      <c r="B116" s="55" t="s">
        <v>127</v>
      </c>
      <c r="C116" s="60">
        <v>944</v>
      </c>
      <c r="D116" s="16" t="s">
        <v>28</v>
      </c>
      <c r="E116" s="49" t="s">
        <v>4</v>
      </c>
      <c r="F116" s="40" t="s">
        <v>150</v>
      </c>
      <c r="G116" s="16" t="s">
        <v>159</v>
      </c>
      <c r="H116" s="29">
        <f>H117+H118</f>
        <v>0</v>
      </c>
      <c r="I116" s="63">
        <f>I117+I118</f>
        <v>0</v>
      </c>
      <c r="J116" s="72">
        <v>0</v>
      </c>
    </row>
    <row r="117" spans="2:10" ht="39">
      <c r="B117" s="13" t="s">
        <v>128</v>
      </c>
      <c r="C117" s="60">
        <v>944</v>
      </c>
      <c r="D117" s="17" t="s">
        <v>28</v>
      </c>
      <c r="E117" s="49" t="s">
        <v>4</v>
      </c>
      <c r="F117" s="41" t="s">
        <v>150</v>
      </c>
      <c r="G117" s="17" t="s">
        <v>8</v>
      </c>
      <c r="H117" s="30">
        <v>0</v>
      </c>
      <c r="I117" s="64">
        <v>0</v>
      </c>
      <c r="J117" s="72">
        <v>0</v>
      </c>
    </row>
    <row r="118" spans="2:10" ht="39">
      <c r="B118" s="13" t="s">
        <v>128</v>
      </c>
      <c r="C118" s="60">
        <v>944</v>
      </c>
      <c r="D118" s="17" t="s">
        <v>28</v>
      </c>
      <c r="E118" s="49" t="s">
        <v>4</v>
      </c>
      <c r="F118" s="41" t="s">
        <v>151</v>
      </c>
      <c r="G118" s="17" t="s">
        <v>8</v>
      </c>
      <c r="H118" s="30">
        <v>0</v>
      </c>
      <c r="I118" s="64">
        <v>0</v>
      </c>
      <c r="J118" s="72">
        <v>0</v>
      </c>
    </row>
    <row r="119" spans="2:10" ht="3" customHeight="1">
      <c r="B119" s="13"/>
      <c r="C119" s="60">
        <v>944</v>
      </c>
      <c r="D119" s="17"/>
      <c r="E119" s="49"/>
      <c r="F119" s="20"/>
      <c r="G119" s="20"/>
      <c r="H119" s="35"/>
      <c r="I119" s="35"/>
      <c r="J119" s="72"/>
    </row>
    <row r="120" spans="2:10" ht="26.25">
      <c r="B120" s="54" t="s">
        <v>87</v>
      </c>
      <c r="C120" s="60">
        <v>944</v>
      </c>
      <c r="D120" s="15" t="s">
        <v>88</v>
      </c>
      <c r="E120" s="49" t="s">
        <v>28</v>
      </c>
      <c r="F120" s="39" t="s">
        <v>141</v>
      </c>
      <c r="G120" s="15" t="s">
        <v>159</v>
      </c>
      <c r="H120" s="31">
        <f>H121</f>
        <v>4200</v>
      </c>
      <c r="I120" s="65">
        <f>I121</f>
        <v>0</v>
      </c>
      <c r="J120" s="72">
        <f t="shared" si="1"/>
        <v>0</v>
      </c>
    </row>
    <row r="121" spans="2:10" ht="13.5">
      <c r="B121" s="55" t="s">
        <v>121</v>
      </c>
      <c r="C121" s="60">
        <v>944</v>
      </c>
      <c r="D121" s="16" t="s">
        <v>88</v>
      </c>
      <c r="E121" s="49" t="s">
        <v>28</v>
      </c>
      <c r="F121" s="47" t="s">
        <v>141</v>
      </c>
      <c r="G121" s="16" t="s">
        <v>159</v>
      </c>
      <c r="H121" s="29">
        <f>H122+H123</f>
        <v>4200</v>
      </c>
      <c r="I121" s="63">
        <f>I122+I123</f>
        <v>0</v>
      </c>
      <c r="J121" s="72">
        <f t="shared" si="1"/>
        <v>0</v>
      </c>
    </row>
    <row r="122" spans="2:10" ht="39">
      <c r="B122" s="13" t="s">
        <v>124</v>
      </c>
      <c r="C122" s="60">
        <v>944</v>
      </c>
      <c r="D122" s="17" t="s">
        <v>88</v>
      </c>
      <c r="E122" s="49" t="s">
        <v>28</v>
      </c>
      <c r="F122" s="41" t="s">
        <v>152</v>
      </c>
      <c r="G122" s="17" t="s">
        <v>8</v>
      </c>
      <c r="H122" s="30">
        <f>4900-700</f>
        <v>4200</v>
      </c>
      <c r="I122" s="64">
        <v>0</v>
      </c>
      <c r="J122" s="72">
        <f t="shared" si="1"/>
        <v>0</v>
      </c>
    </row>
    <row r="123" spans="2:10" ht="1.5" customHeight="1">
      <c r="B123" s="11"/>
      <c r="C123" s="60"/>
      <c r="D123" s="50"/>
      <c r="E123" s="49"/>
      <c r="F123" s="18"/>
      <c r="G123" s="18"/>
      <c r="H123" s="18"/>
      <c r="I123" s="18"/>
      <c r="J123" s="72"/>
    </row>
    <row r="124" spans="2:10" ht="26.25">
      <c r="B124" s="53" t="s">
        <v>129</v>
      </c>
      <c r="C124" s="60">
        <v>857</v>
      </c>
      <c r="D124" s="21" t="s">
        <v>32</v>
      </c>
      <c r="E124" s="49" t="s">
        <v>6</v>
      </c>
      <c r="F124" s="39" t="s">
        <v>141</v>
      </c>
      <c r="G124" s="21" t="s">
        <v>159</v>
      </c>
      <c r="H124" s="28">
        <f>H125+H146</f>
        <v>3440098.0700000003</v>
      </c>
      <c r="I124" s="62">
        <f>I125+I146</f>
        <v>3440098.0700000003</v>
      </c>
      <c r="J124" s="72">
        <f t="shared" si="1"/>
        <v>100</v>
      </c>
    </row>
    <row r="125" spans="2:10" ht="39">
      <c r="B125" s="54" t="s">
        <v>130</v>
      </c>
      <c r="C125" s="60">
        <v>857</v>
      </c>
      <c r="D125" s="15" t="s">
        <v>32</v>
      </c>
      <c r="E125" s="49" t="s">
        <v>6</v>
      </c>
      <c r="F125" s="39" t="s">
        <v>141</v>
      </c>
      <c r="G125" s="15" t="s">
        <v>159</v>
      </c>
      <c r="H125" s="31">
        <f>H126+H127+H128+H136</f>
        <v>2741412.94</v>
      </c>
      <c r="I125" s="65">
        <f>I126+I127+I128+I136</f>
        <v>2741412.9400000004</v>
      </c>
      <c r="J125" s="72">
        <f t="shared" si="1"/>
        <v>100.00000000000003</v>
      </c>
    </row>
    <row r="126" spans="2:10" ht="13.5">
      <c r="B126" s="55" t="s">
        <v>80</v>
      </c>
      <c r="C126" s="60">
        <v>857</v>
      </c>
      <c r="D126" s="16" t="s">
        <v>32</v>
      </c>
      <c r="E126" s="49" t="s">
        <v>6</v>
      </c>
      <c r="F126" s="40" t="s">
        <v>67</v>
      </c>
      <c r="G126" s="16" t="s">
        <v>159</v>
      </c>
      <c r="H126" s="29">
        <f>H129+H133</f>
        <v>551088.4199999999</v>
      </c>
      <c r="I126" s="63">
        <f>I129+I133</f>
        <v>551088.42</v>
      </c>
      <c r="J126" s="72">
        <f t="shared" si="1"/>
        <v>100.00000000000003</v>
      </c>
    </row>
    <row r="127" spans="2:10" ht="13.5">
      <c r="B127" s="55" t="s">
        <v>80</v>
      </c>
      <c r="C127" s="60">
        <v>857</v>
      </c>
      <c r="D127" s="16" t="s">
        <v>32</v>
      </c>
      <c r="E127" s="49" t="s">
        <v>6</v>
      </c>
      <c r="F127" s="40" t="s">
        <v>68</v>
      </c>
      <c r="G127" s="16" t="s">
        <v>159</v>
      </c>
      <c r="H127" s="29">
        <f>H130+H134</f>
        <v>257376.24</v>
      </c>
      <c r="I127" s="63">
        <f>I130+I134</f>
        <v>257376.24</v>
      </c>
      <c r="J127" s="72">
        <f t="shared" si="1"/>
        <v>100</v>
      </c>
    </row>
    <row r="128" spans="2:10" ht="13.5">
      <c r="B128" s="55" t="s">
        <v>80</v>
      </c>
      <c r="C128" s="60">
        <v>857</v>
      </c>
      <c r="D128" s="16" t="s">
        <v>32</v>
      </c>
      <c r="E128" s="49" t="s">
        <v>6</v>
      </c>
      <c r="F128" s="40" t="s">
        <v>66</v>
      </c>
      <c r="G128" s="16" t="s">
        <v>159</v>
      </c>
      <c r="H128" s="29">
        <f>H131+H132+H135</f>
        <v>1209997.78</v>
      </c>
      <c r="I128" s="63">
        <f>I131+I132+I135</f>
        <v>1209997.7800000003</v>
      </c>
      <c r="J128" s="72">
        <f t="shared" si="1"/>
        <v>100.00000000000003</v>
      </c>
    </row>
    <row r="129" spans="2:10" ht="12.75">
      <c r="B129" s="11" t="s">
        <v>106</v>
      </c>
      <c r="C129" s="60">
        <v>857</v>
      </c>
      <c r="D129" s="17" t="s">
        <v>32</v>
      </c>
      <c r="E129" s="49" t="s">
        <v>6</v>
      </c>
      <c r="F129" s="41" t="s">
        <v>67</v>
      </c>
      <c r="G129" s="17" t="s">
        <v>9</v>
      </c>
      <c r="H129" s="30">
        <f>454963.55-45000-700.4</f>
        <v>409263.14999999997</v>
      </c>
      <c r="I129" s="64">
        <f>128708.82+77554.33+16932.87+12377.27+18386.67+17851.07+27930.28+33550.72+22233.03+53738.09</f>
        <v>409263.15</v>
      </c>
      <c r="J129" s="72">
        <f t="shared" si="1"/>
        <v>100.00000000000003</v>
      </c>
    </row>
    <row r="130" spans="2:10" ht="12.75">
      <c r="B130" s="11" t="s">
        <v>106</v>
      </c>
      <c r="C130" s="60">
        <v>857</v>
      </c>
      <c r="D130" s="17" t="s">
        <v>32</v>
      </c>
      <c r="E130" s="49" t="s">
        <v>6</v>
      </c>
      <c r="F130" s="41" t="s">
        <v>68</v>
      </c>
      <c r="G130" s="17" t="s">
        <v>9</v>
      </c>
      <c r="H130" s="30">
        <f>127183.84+113879.06-35000-8339.55</f>
        <v>197723.35</v>
      </c>
      <c r="I130" s="64">
        <f>21385.8+15024.83+10578.62+9948.57+4266.11+4504.5+8929.41+405.63+31005.28+24750.89+66923.71</f>
        <v>197723.35</v>
      </c>
      <c r="J130" s="72">
        <f t="shared" si="1"/>
        <v>100</v>
      </c>
    </row>
    <row r="131" spans="2:10" ht="12.75">
      <c r="B131" s="11" t="s">
        <v>106</v>
      </c>
      <c r="C131" s="60">
        <v>857</v>
      </c>
      <c r="D131" s="17" t="s">
        <v>32</v>
      </c>
      <c r="E131" s="49" t="s">
        <v>6</v>
      </c>
      <c r="F131" s="41" t="s">
        <v>66</v>
      </c>
      <c r="G131" s="17" t="s">
        <v>9</v>
      </c>
      <c r="H131" s="30">
        <f>839500+37548.98+56506.4</f>
        <v>933555.38</v>
      </c>
      <c r="I131" s="64">
        <f>227267.42+76222.04+58554.58+7883+10523+62683.06+112586.01+112587.01+5386.91+54467.06+2815.35+65825.02+18687.74+53491.68+64575.5</f>
        <v>933555.3800000001</v>
      </c>
      <c r="J131" s="72">
        <f t="shared" si="1"/>
        <v>100.00000000000003</v>
      </c>
    </row>
    <row r="132" spans="2:10" ht="26.25">
      <c r="B132" s="11" t="s">
        <v>73</v>
      </c>
      <c r="C132" s="60">
        <v>857</v>
      </c>
      <c r="D132" s="17" t="s">
        <v>32</v>
      </c>
      <c r="E132" s="49" t="s">
        <v>6</v>
      </c>
      <c r="F132" s="41" t="s">
        <v>66</v>
      </c>
      <c r="G132" s="17" t="s">
        <v>14</v>
      </c>
      <c r="H132" s="30">
        <f>29000-3937.53-3487.17</f>
        <v>21575.300000000003</v>
      </c>
      <c r="I132" s="64">
        <f>396+396+594+198+19595.3+396</f>
        <v>21575.3</v>
      </c>
      <c r="J132" s="72">
        <f t="shared" si="1"/>
        <v>99.99999999999997</v>
      </c>
    </row>
    <row r="133" spans="2:10" ht="39">
      <c r="B133" s="11" t="s">
        <v>131</v>
      </c>
      <c r="C133" s="60">
        <v>857</v>
      </c>
      <c r="D133" s="17" t="s">
        <v>32</v>
      </c>
      <c r="E133" s="49" t="s">
        <v>6</v>
      </c>
      <c r="F133" s="41" t="s">
        <v>67</v>
      </c>
      <c r="G133" s="17" t="s">
        <v>59</v>
      </c>
      <c r="H133" s="30">
        <f>147086.74-5261.47</f>
        <v>141825.27</v>
      </c>
      <c r="I133" s="64">
        <f>52354.86+8984.8+9051.15+15651.92+8398.56+5391.03+2855.23+8434.94+9159.35+6069.65+15473.78</f>
        <v>141825.27</v>
      </c>
      <c r="J133" s="72">
        <f t="shared" si="1"/>
        <v>100</v>
      </c>
    </row>
    <row r="134" spans="2:10" ht="39">
      <c r="B134" s="11" t="s">
        <v>58</v>
      </c>
      <c r="C134" s="60">
        <v>857</v>
      </c>
      <c r="D134" s="17" t="s">
        <v>32</v>
      </c>
      <c r="E134" s="49" t="s">
        <v>6</v>
      </c>
      <c r="F134" s="41" t="s">
        <v>68</v>
      </c>
      <c r="G134" s="17" t="s">
        <v>59</v>
      </c>
      <c r="H134" s="30">
        <f>39555.53+49271.45-29174.09</f>
        <v>59652.89</v>
      </c>
      <c r="I134" s="64">
        <f>2903.26+7282.47+2624.47+4365.23+3880.61+1360.36+405+2209.7+8349.96+6060.85+20210.98</f>
        <v>59652.89</v>
      </c>
      <c r="J134" s="72">
        <f t="shared" si="1"/>
        <v>100</v>
      </c>
    </row>
    <row r="135" spans="2:10" ht="39">
      <c r="B135" s="11" t="s">
        <v>131</v>
      </c>
      <c r="C135" s="60">
        <v>857</v>
      </c>
      <c r="D135" s="17" t="s">
        <v>32</v>
      </c>
      <c r="E135" s="49" t="s">
        <v>6</v>
      </c>
      <c r="F135" s="41" t="s">
        <v>66</v>
      </c>
      <c r="G135" s="17" t="s">
        <v>59</v>
      </c>
      <c r="H135" s="30">
        <f>248350+6451.07+66.03</f>
        <v>254867.1</v>
      </c>
      <c r="I135" s="69">
        <f>84655.06+18137.46+567.72+53218.01+40408.01+7204.41-20315.6+20315.6-1128.44+17201.65+15879.47+66.03+18657.72</f>
        <v>254867.1</v>
      </c>
      <c r="J135" s="72">
        <f t="shared" si="1"/>
        <v>100</v>
      </c>
    </row>
    <row r="136" spans="2:10" ht="13.5">
      <c r="B136" s="55" t="s">
        <v>81</v>
      </c>
      <c r="C136" s="60">
        <v>857</v>
      </c>
      <c r="D136" s="16" t="s">
        <v>32</v>
      </c>
      <c r="E136" s="49" t="s">
        <v>6</v>
      </c>
      <c r="F136" s="40" t="s">
        <v>66</v>
      </c>
      <c r="G136" s="16" t="s">
        <v>159</v>
      </c>
      <c r="H136" s="29">
        <f>H137+H140+H141+H142+H143+H144+H138+H139</f>
        <v>722950.5</v>
      </c>
      <c r="I136" s="63">
        <f>I137+I138+I140+I141+I142+I143+I144+I139</f>
        <v>722950.5</v>
      </c>
      <c r="J136" s="72">
        <f t="shared" si="1"/>
        <v>100</v>
      </c>
    </row>
    <row r="137" spans="2:10" ht="26.25">
      <c r="B137" s="13" t="s">
        <v>100</v>
      </c>
      <c r="C137" s="60">
        <v>857</v>
      </c>
      <c r="D137" s="17" t="s">
        <v>32</v>
      </c>
      <c r="E137" s="49" t="s">
        <v>6</v>
      </c>
      <c r="F137" s="41" t="s">
        <v>66</v>
      </c>
      <c r="G137" s="17" t="s">
        <v>15</v>
      </c>
      <c r="H137" s="30">
        <f>39000-3853.8</f>
        <v>35146.2</v>
      </c>
      <c r="I137" s="64">
        <f>4000+6351.4+4878.6+3675+8000+2241.2+2000+4000</f>
        <v>35146.2</v>
      </c>
      <c r="J137" s="72">
        <f t="shared" si="1"/>
        <v>100</v>
      </c>
    </row>
    <row r="138" spans="2:10" ht="41.25">
      <c r="B138" s="52" t="s">
        <v>89</v>
      </c>
      <c r="C138" s="60">
        <v>857</v>
      </c>
      <c r="D138" s="16" t="s">
        <v>32</v>
      </c>
      <c r="E138" s="49" t="s">
        <v>6</v>
      </c>
      <c r="F138" s="40" t="s">
        <v>153</v>
      </c>
      <c r="G138" s="16" t="s">
        <v>8</v>
      </c>
      <c r="H138" s="29">
        <v>10000</v>
      </c>
      <c r="I138" s="63">
        <v>10000</v>
      </c>
      <c r="J138" s="72">
        <f t="shared" si="1"/>
        <v>100</v>
      </c>
    </row>
    <row r="139" spans="2:10" ht="26.25">
      <c r="B139" s="13" t="s">
        <v>89</v>
      </c>
      <c r="C139" s="60">
        <v>857</v>
      </c>
      <c r="D139" s="17" t="s">
        <v>32</v>
      </c>
      <c r="E139" s="49" t="s">
        <v>6</v>
      </c>
      <c r="F139" s="41" t="s">
        <v>66</v>
      </c>
      <c r="G139" s="17" t="s">
        <v>8</v>
      </c>
      <c r="H139" s="30">
        <f>576128.43-6537.33-10575.56-56506.4-6451.07+3937.53</f>
        <v>499995.60000000003</v>
      </c>
      <c r="I139" s="64">
        <f>185344.34+11940+2094.09+5796.8+10880+2820+1500+12413.85+16293.2+2300+5370+72826.92+14871.27+1121.94+945+1314.35+33999+1500+4850+1620+699.6+34495.8+10575.56-10575.56+7587.79+2000+600+770+2490+7760+45423.39+8368.26</f>
        <v>499995.6</v>
      </c>
      <c r="J139" s="72">
        <f t="shared" si="1"/>
        <v>99.99999999999999</v>
      </c>
    </row>
    <row r="140" spans="2:10" ht="41.25">
      <c r="B140" s="52" t="s">
        <v>132</v>
      </c>
      <c r="C140" s="60">
        <v>857</v>
      </c>
      <c r="D140" s="16" t="s">
        <v>32</v>
      </c>
      <c r="E140" s="49" t="s">
        <v>6</v>
      </c>
      <c r="F140" s="40" t="s">
        <v>154</v>
      </c>
      <c r="G140" s="16" t="s">
        <v>8</v>
      </c>
      <c r="H140" s="29">
        <f>100000+60000+6000</f>
        <v>166000</v>
      </c>
      <c r="I140" s="63">
        <f>100000+60000+6000</f>
        <v>166000</v>
      </c>
      <c r="J140" s="72">
        <f t="shared" si="1"/>
        <v>100</v>
      </c>
    </row>
    <row r="141" spans="2:10" ht="92.25">
      <c r="B141" s="12" t="s">
        <v>104</v>
      </c>
      <c r="C141" s="60">
        <v>857</v>
      </c>
      <c r="D141" s="17" t="s">
        <v>32</v>
      </c>
      <c r="E141" s="49" t="s">
        <v>6</v>
      </c>
      <c r="F141" s="41" t="s">
        <v>66</v>
      </c>
      <c r="G141" s="17" t="s">
        <v>42</v>
      </c>
      <c r="H141" s="30">
        <v>2421.57</v>
      </c>
      <c r="I141" s="64">
        <v>2421.57</v>
      </c>
      <c r="J141" s="72">
        <f t="shared" si="1"/>
        <v>100</v>
      </c>
    </row>
    <row r="142" spans="2:10" ht="26.25">
      <c r="B142" s="13" t="s">
        <v>25</v>
      </c>
      <c r="C142" s="60">
        <v>857</v>
      </c>
      <c r="D142" s="17" t="s">
        <v>32</v>
      </c>
      <c r="E142" s="49" t="s">
        <v>6</v>
      </c>
      <c r="F142" s="41" t="s">
        <v>66</v>
      </c>
      <c r="G142" s="17" t="s">
        <v>10</v>
      </c>
      <c r="H142" s="30">
        <f>1500-358</f>
        <v>1142</v>
      </c>
      <c r="I142" s="64">
        <f>253+206+259+424</f>
        <v>1142</v>
      </c>
      <c r="J142" s="72">
        <f aca="true" t="shared" si="3" ref="J142:J176">I142/H142*100</f>
        <v>100</v>
      </c>
    </row>
    <row r="143" spans="2:10" ht="12.75">
      <c r="B143" s="13" t="s">
        <v>60</v>
      </c>
      <c r="C143" s="60">
        <v>857</v>
      </c>
      <c r="D143" s="17" t="s">
        <v>32</v>
      </c>
      <c r="E143" s="49" t="s">
        <v>6</v>
      </c>
      <c r="F143" s="41" t="s">
        <v>66</v>
      </c>
      <c r="G143" s="17" t="s">
        <v>16</v>
      </c>
      <c r="H143" s="30">
        <f>800-207.48-435-157.52</f>
        <v>0</v>
      </c>
      <c r="I143" s="64">
        <f>7.48-7.48</f>
        <v>0</v>
      </c>
      <c r="J143" s="72">
        <v>0</v>
      </c>
    </row>
    <row r="144" spans="2:10" ht="12.75">
      <c r="B144" s="13" t="s">
        <v>49</v>
      </c>
      <c r="C144" s="60">
        <v>857</v>
      </c>
      <c r="D144" s="17" t="s">
        <v>32</v>
      </c>
      <c r="E144" s="49" t="s">
        <v>6</v>
      </c>
      <c r="F144" s="41" t="s">
        <v>66</v>
      </c>
      <c r="G144" s="17" t="s">
        <v>50</v>
      </c>
      <c r="H144" s="30">
        <f>2000+6537.33-292.2</f>
        <v>8245.13</v>
      </c>
      <c r="I144" s="64">
        <f>657.89+6537.33+167.48+882.43</f>
        <v>8245.13</v>
      </c>
      <c r="J144" s="72">
        <f t="shared" si="3"/>
        <v>100</v>
      </c>
    </row>
    <row r="145" spans="2:10" ht="3" customHeight="1">
      <c r="B145" s="11"/>
      <c r="C145" s="60">
        <v>857</v>
      </c>
      <c r="D145" s="50"/>
      <c r="E145" s="49"/>
      <c r="F145" s="18"/>
      <c r="G145" s="18"/>
      <c r="H145" s="18"/>
      <c r="I145" s="18"/>
      <c r="J145" s="72"/>
    </row>
    <row r="146" spans="2:10" ht="39">
      <c r="B146" s="54" t="s">
        <v>133</v>
      </c>
      <c r="C146" s="60">
        <v>857</v>
      </c>
      <c r="D146" s="15" t="s">
        <v>32</v>
      </c>
      <c r="E146" s="49" t="s">
        <v>6</v>
      </c>
      <c r="F146" s="39" t="s">
        <v>141</v>
      </c>
      <c r="G146" s="15" t="s">
        <v>159</v>
      </c>
      <c r="H146" s="31">
        <f>H147+H148+H149+H157</f>
        <v>698685.1300000001</v>
      </c>
      <c r="I146" s="65">
        <f>I147+I148+I149+I157</f>
        <v>698685.13</v>
      </c>
      <c r="J146" s="72">
        <f t="shared" si="3"/>
        <v>99.99999999999997</v>
      </c>
    </row>
    <row r="147" spans="2:10" ht="13.5">
      <c r="B147" s="55" t="s">
        <v>80</v>
      </c>
      <c r="C147" s="60">
        <v>857</v>
      </c>
      <c r="D147" s="16" t="s">
        <v>32</v>
      </c>
      <c r="E147" s="49" t="s">
        <v>6</v>
      </c>
      <c r="F147" s="40" t="s">
        <v>69</v>
      </c>
      <c r="G147" s="16" t="s">
        <v>159</v>
      </c>
      <c r="H147" s="32">
        <f>H150+H154</f>
        <v>164411.58000000002</v>
      </c>
      <c r="I147" s="66">
        <f>I150+I154</f>
        <v>164411.58</v>
      </c>
      <c r="J147" s="72">
        <f t="shared" si="3"/>
        <v>99.99999999999997</v>
      </c>
    </row>
    <row r="148" spans="2:10" ht="13.5">
      <c r="B148" s="55" t="s">
        <v>80</v>
      </c>
      <c r="C148" s="60">
        <v>857</v>
      </c>
      <c r="D148" s="16" t="s">
        <v>32</v>
      </c>
      <c r="E148" s="49" t="s">
        <v>6</v>
      </c>
      <c r="F148" s="40" t="s">
        <v>71</v>
      </c>
      <c r="G148" s="16" t="s">
        <v>159</v>
      </c>
      <c r="H148" s="32">
        <f>H151+H155</f>
        <v>192623.76</v>
      </c>
      <c r="I148" s="66">
        <f>I151+I155</f>
        <v>192623.76</v>
      </c>
      <c r="J148" s="72">
        <f t="shared" si="3"/>
        <v>100</v>
      </c>
    </row>
    <row r="149" spans="2:10" ht="13.5">
      <c r="B149" s="55" t="s">
        <v>80</v>
      </c>
      <c r="C149" s="60">
        <v>857</v>
      </c>
      <c r="D149" s="16" t="s">
        <v>32</v>
      </c>
      <c r="E149" s="49" t="s">
        <v>6</v>
      </c>
      <c r="F149" s="40" t="s">
        <v>70</v>
      </c>
      <c r="G149" s="16" t="s">
        <v>159</v>
      </c>
      <c r="H149" s="32">
        <f>H152+H153+H156</f>
        <v>308276.26</v>
      </c>
      <c r="I149" s="66">
        <f>I152+I153+I156</f>
        <v>308276.26</v>
      </c>
      <c r="J149" s="72">
        <f t="shared" si="3"/>
        <v>100</v>
      </c>
    </row>
    <row r="150" spans="2:10" ht="12.75">
      <c r="B150" s="11" t="s">
        <v>106</v>
      </c>
      <c r="C150" s="60">
        <v>857</v>
      </c>
      <c r="D150" s="17" t="s">
        <v>32</v>
      </c>
      <c r="E150" s="49" t="s">
        <v>6</v>
      </c>
      <c r="F150" s="41" t="s">
        <v>69</v>
      </c>
      <c r="G150" s="17" t="s">
        <v>9</v>
      </c>
      <c r="H150" s="30">
        <f>86620.35+45000-1655.46</f>
        <v>129964.89</v>
      </c>
      <c r="I150" s="64">
        <f>40197.85+24270.4+21114.4+18898.32+25483.92</f>
        <v>129964.89</v>
      </c>
      <c r="J150" s="72">
        <f t="shared" si="3"/>
        <v>100</v>
      </c>
    </row>
    <row r="151" spans="2:10" ht="12.75">
      <c r="B151" s="11" t="s">
        <v>106</v>
      </c>
      <c r="C151" s="60">
        <v>857</v>
      </c>
      <c r="D151" s="17" t="s">
        <v>32</v>
      </c>
      <c r="E151" s="49" t="s">
        <v>6</v>
      </c>
      <c r="F151" s="41" t="s">
        <v>71</v>
      </c>
      <c r="G151" s="17" t="s">
        <v>9</v>
      </c>
      <c r="H151" s="30">
        <f>60760.85+25690.85+35000+13914.75+13797.79</f>
        <v>149164.24000000002</v>
      </c>
      <c r="I151" s="64">
        <f>7645.17+7645.17+7645.17+7645.17+7645.17+7645.17+7645.17+21486.39+14187.88+18117+41856.78</f>
        <v>149164.24</v>
      </c>
      <c r="J151" s="72">
        <f t="shared" si="3"/>
        <v>99.99999999999997</v>
      </c>
    </row>
    <row r="152" spans="2:10" ht="12.75">
      <c r="B152" s="11" t="s">
        <v>106</v>
      </c>
      <c r="C152" s="60">
        <v>857</v>
      </c>
      <c r="D152" s="17" t="s">
        <v>32</v>
      </c>
      <c r="E152" s="49" t="s">
        <v>6</v>
      </c>
      <c r="F152" s="41" t="s">
        <v>70</v>
      </c>
      <c r="G152" s="17" t="s">
        <v>9</v>
      </c>
      <c r="H152" s="37">
        <f>271460-37548.98</f>
        <v>233911.02</v>
      </c>
      <c r="I152" s="70">
        <f>55167.58+13470.23+7645.17+21115.4+3155+3155+24270.4+24270.4+3156+60699.07+17806.77</f>
        <v>233911.02</v>
      </c>
      <c r="J152" s="72">
        <f t="shared" si="3"/>
        <v>100</v>
      </c>
    </row>
    <row r="153" spans="2:10" ht="26.25">
      <c r="B153" s="11" t="s">
        <v>73</v>
      </c>
      <c r="C153" s="60">
        <v>857</v>
      </c>
      <c r="D153" s="17" t="s">
        <v>32</v>
      </c>
      <c r="E153" s="49" t="s">
        <v>6</v>
      </c>
      <c r="F153" s="41" t="s">
        <v>70</v>
      </c>
      <c r="G153" s="17" t="s">
        <v>14</v>
      </c>
      <c r="H153" s="30">
        <f>2500-2302</f>
        <v>198</v>
      </c>
      <c r="I153" s="64">
        <f>198</f>
        <v>198</v>
      </c>
      <c r="J153" s="72">
        <f t="shared" si="3"/>
        <v>100</v>
      </c>
    </row>
    <row r="154" spans="2:10" ht="39">
      <c r="B154" s="11" t="s">
        <v>58</v>
      </c>
      <c r="C154" s="60">
        <v>857</v>
      </c>
      <c r="D154" s="17" t="s">
        <v>32</v>
      </c>
      <c r="E154" s="49" t="s">
        <v>6</v>
      </c>
      <c r="F154" s="41" t="s">
        <v>69</v>
      </c>
      <c r="G154" s="17" t="s">
        <v>59</v>
      </c>
      <c r="H154" s="30">
        <f>26829.36+1655.46+700.4+5261.47</f>
        <v>34446.69</v>
      </c>
      <c r="I154" s="64">
        <f>12139.75+6577.28+7329.67+703.84+7696.15</f>
        <v>34446.689999999995</v>
      </c>
      <c r="J154" s="72">
        <f t="shared" si="3"/>
        <v>99.99999999999997</v>
      </c>
    </row>
    <row r="155" spans="2:10" ht="39">
      <c r="B155" s="11" t="s">
        <v>131</v>
      </c>
      <c r="C155" s="60">
        <v>857</v>
      </c>
      <c r="D155" s="17" t="s">
        <v>32</v>
      </c>
      <c r="E155" s="49" t="s">
        <v>6</v>
      </c>
      <c r="F155" s="41" t="s">
        <v>71</v>
      </c>
      <c r="G155" s="17" t="s">
        <v>59</v>
      </c>
      <c r="H155" s="30">
        <f>25899.78+7758.64+9801.1</f>
        <v>43459.52</v>
      </c>
      <c r="I155" s="64">
        <f>2308.83+2308.84+2087.13+2087.13+2087.12+2308.84+665.13+2308.83+3801.36+5937.7+17558.61</f>
        <v>43459.520000000004</v>
      </c>
      <c r="J155" s="72">
        <f t="shared" si="3"/>
        <v>100.00000000000003</v>
      </c>
    </row>
    <row r="156" spans="2:10" ht="39">
      <c r="B156" s="11" t="s">
        <v>58</v>
      </c>
      <c r="C156" s="60">
        <v>857</v>
      </c>
      <c r="D156" s="17" t="s">
        <v>32</v>
      </c>
      <c r="E156" s="49" t="s">
        <v>6</v>
      </c>
      <c r="F156" s="41" t="s">
        <v>70</v>
      </c>
      <c r="G156" s="17" t="s">
        <v>59</v>
      </c>
      <c r="H156" s="37">
        <f>74250-66.03-16.73</f>
        <v>74167.24</v>
      </c>
      <c r="I156" s="70">
        <f>8964.45+7696.16+48.54+6625.82+6625.82+48.54+8688.8+7329.67+20340.1+7799.34</f>
        <v>74167.23999999999</v>
      </c>
      <c r="J156" s="72">
        <f t="shared" si="3"/>
        <v>99.99999999999997</v>
      </c>
    </row>
    <row r="157" spans="2:10" ht="13.5">
      <c r="B157" s="59" t="s">
        <v>81</v>
      </c>
      <c r="C157" s="60">
        <v>857</v>
      </c>
      <c r="D157" s="16" t="s">
        <v>32</v>
      </c>
      <c r="E157" s="49" t="s">
        <v>6</v>
      </c>
      <c r="F157" s="40" t="s">
        <v>70</v>
      </c>
      <c r="G157" s="16" t="s">
        <v>159</v>
      </c>
      <c r="H157" s="38">
        <f>H159+H161+H158+H162+H163+H164</f>
        <v>33373.53</v>
      </c>
      <c r="I157" s="71">
        <f>I159+I161+I158+I160+I162+I163+I164</f>
        <v>33373.53</v>
      </c>
      <c r="J157" s="72">
        <f t="shared" si="3"/>
        <v>100</v>
      </c>
    </row>
    <row r="158" spans="2:10" ht="39">
      <c r="B158" s="13" t="s">
        <v>90</v>
      </c>
      <c r="C158" s="60">
        <v>857</v>
      </c>
      <c r="D158" s="17" t="s">
        <v>32</v>
      </c>
      <c r="E158" s="49" t="s">
        <v>6</v>
      </c>
      <c r="F158" s="41" t="s">
        <v>91</v>
      </c>
      <c r="G158" s="17" t="s">
        <v>8</v>
      </c>
      <c r="H158" s="30">
        <f>15900-15900</f>
        <v>0</v>
      </c>
      <c r="I158" s="64">
        <v>0</v>
      </c>
      <c r="J158" s="72">
        <v>0</v>
      </c>
    </row>
    <row r="159" spans="2:10" ht="26.25">
      <c r="B159" s="13" t="s">
        <v>89</v>
      </c>
      <c r="C159" s="60">
        <v>857</v>
      </c>
      <c r="D159" s="17" t="s">
        <v>32</v>
      </c>
      <c r="E159" s="49" t="s">
        <v>6</v>
      </c>
      <c r="F159" s="41" t="s">
        <v>70</v>
      </c>
      <c r="G159" s="17" t="s">
        <v>8</v>
      </c>
      <c r="H159" s="30">
        <f>10000-200-200+10575.56-3402.03</f>
        <v>16773.53</v>
      </c>
      <c r="I159" s="64">
        <f>6197.97+10575.56</f>
        <v>16773.53</v>
      </c>
      <c r="J159" s="72">
        <f t="shared" si="3"/>
        <v>100</v>
      </c>
    </row>
    <row r="160" spans="2:10" ht="39">
      <c r="B160" s="13" t="s">
        <v>90</v>
      </c>
      <c r="C160" s="60">
        <v>857</v>
      </c>
      <c r="D160" s="17" t="s">
        <v>32</v>
      </c>
      <c r="E160" s="49" t="s">
        <v>6</v>
      </c>
      <c r="F160" s="41" t="s">
        <v>155</v>
      </c>
      <c r="G160" s="17" t="s">
        <v>8</v>
      </c>
      <c r="H160" s="30">
        <v>0</v>
      </c>
      <c r="I160" s="64">
        <v>0</v>
      </c>
      <c r="J160" s="72">
        <v>0</v>
      </c>
    </row>
    <row r="161" spans="2:10" ht="66">
      <c r="B161" s="13" t="s">
        <v>90</v>
      </c>
      <c r="C161" s="60">
        <v>857</v>
      </c>
      <c r="D161" s="17" t="s">
        <v>32</v>
      </c>
      <c r="E161" s="49" t="s">
        <v>6</v>
      </c>
      <c r="F161" s="41" t="s">
        <v>92</v>
      </c>
      <c r="G161" s="26" t="s">
        <v>162</v>
      </c>
      <c r="H161" s="30">
        <v>300</v>
      </c>
      <c r="I161" s="64">
        <v>300</v>
      </c>
      <c r="J161" s="72">
        <f t="shared" si="3"/>
        <v>100</v>
      </c>
    </row>
    <row r="162" spans="2:10" ht="52.5">
      <c r="B162" s="13" t="s">
        <v>134</v>
      </c>
      <c r="C162" s="60">
        <v>857</v>
      </c>
      <c r="D162" s="17" t="s">
        <v>32</v>
      </c>
      <c r="E162" s="49" t="s">
        <v>6</v>
      </c>
      <c r="F162" s="41" t="s">
        <v>156</v>
      </c>
      <c r="G162" s="17" t="s">
        <v>8</v>
      </c>
      <c r="H162" s="30">
        <v>200</v>
      </c>
      <c r="I162" s="64">
        <v>200</v>
      </c>
      <c r="J162" s="72">
        <f t="shared" si="3"/>
        <v>100</v>
      </c>
    </row>
    <row r="163" spans="2:10" ht="39">
      <c r="B163" s="13" t="s">
        <v>90</v>
      </c>
      <c r="C163" s="60">
        <v>857</v>
      </c>
      <c r="D163" s="17" t="s">
        <v>32</v>
      </c>
      <c r="E163" s="49" t="s">
        <v>6</v>
      </c>
      <c r="F163" s="41" t="s">
        <v>157</v>
      </c>
      <c r="G163" s="17" t="s">
        <v>8</v>
      </c>
      <c r="H163" s="30">
        <v>15900</v>
      </c>
      <c r="I163" s="64">
        <v>15900</v>
      </c>
      <c r="J163" s="72">
        <f t="shared" si="3"/>
        <v>100</v>
      </c>
    </row>
    <row r="164" spans="2:10" ht="52.5">
      <c r="B164" s="13" t="s">
        <v>134</v>
      </c>
      <c r="C164" s="60">
        <v>857</v>
      </c>
      <c r="D164" s="17" t="s">
        <v>32</v>
      </c>
      <c r="E164" s="49" t="s">
        <v>6</v>
      </c>
      <c r="F164" s="41" t="s">
        <v>158</v>
      </c>
      <c r="G164" s="17" t="s">
        <v>8</v>
      </c>
      <c r="H164" s="30">
        <v>200</v>
      </c>
      <c r="I164" s="64">
        <v>200</v>
      </c>
      <c r="J164" s="72">
        <f t="shared" si="3"/>
        <v>100</v>
      </c>
    </row>
    <row r="165" spans="2:10" ht="2.25" customHeight="1">
      <c r="B165" s="11"/>
      <c r="C165" s="60"/>
      <c r="D165" s="50"/>
      <c r="E165" s="49"/>
      <c r="F165" s="18"/>
      <c r="G165" s="18"/>
      <c r="H165" s="18"/>
      <c r="I165" s="18"/>
      <c r="J165" s="72"/>
    </row>
    <row r="166" spans="2:10" ht="12.75">
      <c r="B166" s="54" t="s">
        <v>135</v>
      </c>
      <c r="C166" s="60">
        <v>940</v>
      </c>
      <c r="D166" s="21" t="s">
        <v>29</v>
      </c>
      <c r="E166" s="49" t="s">
        <v>4</v>
      </c>
      <c r="F166" s="39" t="s">
        <v>141</v>
      </c>
      <c r="G166" s="21" t="s">
        <v>159</v>
      </c>
      <c r="H166" s="31">
        <f>H167</f>
        <v>100000</v>
      </c>
      <c r="I166" s="65">
        <f>I167</f>
        <v>62368.759999999995</v>
      </c>
      <c r="J166" s="72">
        <f t="shared" si="3"/>
        <v>62.36875999999999</v>
      </c>
    </row>
    <row r="167" spans="2:10" ht="13.5">
      <c r="B167" s="55" t="s">
        <v>72</v>
      </c>
      <c r="C167" s="60">
        <v>940</v>
      </c>
      <c r="D167" s="16" t="s">
        <v>29</v>
      </c>
      <c r="E167" s="49" t="s">
        <v>4</v>
      </c>
      <c r="F167" s="40" t="s">
        <v>77</v>
      </c>
      <c r="G167" s="16" t="s">
        <v>159</v>
      </c>
      <c r="H167" s="29">
        <f>H168</f>
        <v>100000</v>
      </c>
      <c r="I167" s="63">
        <f>I168</f>
        <v>62368.759999999995</v>
      </c>
      <c r="J167" s="72">
        <f t="shared" si="3"/>
        <v>62.36875999999999</v>
      </c>
    </row>
    <row r="168" spans="2:10" ht="26.25">
      <c r="B168" s="11" t="s">
        <v>73</v>
      </c>
      <c r="C168" s="60">
        <v>940</v>
      </c>
      <c r="D168" s="17" t="s">
        <v>29</v>
      </c>
      <c r="E168" s="49" t="s">
        <v>4</v>
      </c>
      <c r="F168" s="41" t="s">
        <v>77</v>
      </c>
      <c r="G168" s="17" t="s">
        <v>14</v>
      </c>
      <c r="H168" s="30">
        <v>100000</v>
      </c>
      <c r="I168" s="64">
        <f>10594.8+5297.4+5297.4+5297.4+5297.4+4998.78+4998.78+5590.46+4998.78+4998.78+4998.78</f>
        <v>62368.759999999995</v>
      </c>
      <c r="J168" s="72">
        <f t="shared" si="3"/>
        <v>62.36875999999999</v>
      </c>
    </row>
    <row r="169" spans="2:10" ht="2.25" customHeight="1">
      <c r="B169" s="14"/>
      <c r="C169" s="60">
        <v>940</v>
      </c>
      <c r="D169" s="50"/>
      <c r="E169" s="49"/>
      <c r="F169" s="24"/>
      <c r="G169" s="24"/>
      <c r="H169" s="24"/>
      <c r="I169" s="24"/>
      <c r="J169" s="72"/>
    </row>
    <row r="170" spans="2:10" ht="12.75">
      <c r="B170" s="53" t="s">
        <v>136</v>
      </c>
      <c r="C170" s="60">
        <v>940</v>
      </c>
      <c r="D170" s="15" t="s">
        <v>26</v>
      </c>
      <c r="E170" s="49" t="s">
        <v>23</v>
      </c>
      <c r="F170" s="39" t="s">
        <v>141</v>
      </c>
      <c r="G170" s="15" t="s">
        <v>159</v>
      </c>
      <c r="H170" s="31">
        <f>H171</f>
        <v>0</v>
      </c>
      <c r="I170" s="65">
        <v>0</v>
      </c>
      <c r="J170" s="72">
        <v>0</v>
      </c>
    </row>
    <row r="171" spans="2:10" ht="13.5">
      <c r="B171" s="55" t="s">
        <v>137</v>
      </c>
      <c r="C171" s="60">
        <v>940</v>
      </c>
      <c r="D171" s="16" t="s">
        <v>26</v>
      </c>
      <c r="E171" s="49" t="s">
        <v>23</v>
      </c>
      <c r="F171" s="47" t="s">
        <v>55</v>
      </c>
      <c r="G171" s="16" t="s">
        <v>159</v>
      </c>
      <c r="H171" s="29">
        <f>H172</f>
        <v>0</v>
      </c>
      <c r="I171" s="63">
        <v>0</v>
      </c>
      <c r="J171" s="72">
        <v>0</v>
      </c>
    </row>
    <row r="172" spans="2:10" ht="26.25">
      <c r="B172" s="13" t="s">
        <v>40</v>
      </c>
      <c r="C172" s="60">
        <v>940</v>
      </c>
      <c r="D172" s="17" t="s">
        <v>26</v>
      </c>
      <c r="E172" s="49" t="s">
        <v>23</v>
      </c>
      <c r="F172" s="42" t="s">
        <v>55</v>
      </c>
      <c r="G172" s="17" t="s">
        <v>8</v>
      </c>
      <c r="H172" s="30">
        <v>0</v>
      </c>
      <c r="I172" s="64">
        <v>0</v>
      </c>
      <c r="J172" s="72">
        <v>0</v>
      </c>
    </row>
    <row r="173" spans="2:10" ht="2.25" customHeight="1">
      <c r="B173" s="14"/>
      <c r="C173" s="60">
        <v>940</v>
      </c>
      <c r="D173" s="50"/>
      <c r="E173" s="49"/>
      <c r="F173" s="24"/>
      <c r="G173" s="24"/>
      <c r="H173" s="24"/>
      <c r="I173" s="24"/>
      <c r="J173" s="72"/>
    </row>
    <row r="174" spans="2:10" ht="26.25">
      <c r="B174" s="54" t="s">
        <v>138</v>
      </c>
      <c r="C174" s="60">
        <v>940</v>
      </c>
      <c r="D174" s="15" t="s">
        <v>30</v>
      </c>
      <c r="E174" s="49" t="s">
        <v>4</v>
      </c>
      <c r="F174" s="39" t="s">
        <v>141</v>
      </c>
      <c r="G174" s="15" t="s">
        <v>159</v>
      </c>
      <c r="H174" s="31">
        <f>H175</f>
        <v>93127.78</v>
      </c>
      <c r="I174" s="65">
        <f>I175</f>
        <v>0</v>
      </c>
      <c r="J174" s="72">
        <f t="shared" si="3"/>
        <v>0</v>
      </c>
    </row>
    <row r="175" spans="2:10" ht="27">
      <c r="B175" s="57" t="s">
        <v>139</v>
      </c>
      <c r="C175" s="60">
        <v>940</v>
      </c>
      <c r="D175" s="16" t="s">
        <v>30</v>
      </c>
      <c r="E175" s="49" t="s">
        <v>4</v>
      </c>
      <c r="F175" s="40" t="s">
        <v>56</v>
      </c>
      <c r="G175" s="16" t="s">
        <v>159</v>
      </c>
      <c r="H175" s="29">
        <f>H176</f>
        <v>93127.78</v>
      </c>
      <c r="I175" s="63">
        <v>0</v>
      </c>
      <c r="J175" s="72">
        <f t="shared" si="3"/>
        <v>0</v>
      </c>
    </row>
    <row r="176" spans="2:10" ht="26.25">
      <c r="B176" s="11" t="s">
        <v>140</v>
      </c>
      <c r="C176" s="60">
        <v>940</v>
      </c>
      <c r="D176" s="17" t="s">
        <v>30</v>
      </c>
      <c r="E176" s="49" t="s">
        <v>4</v>
      </c>
      <c r="F176" s="41" t="s">
        <v>56</v>
      </c>
      <c r="G176" s="17" t="s">
        <v>7</v>
      </c>
      <c r="H176" s="30">
        <f>110285-98610+31452.78+50000</f>
        <v>93127.78</v>
      </c>
      <c r="I176" s="64">
        <v>0</v>
      </c>
      <c r="J176" s="72">
        <f t="shared" si="3"/>
        <v>0</v>
      </c>
    </row>
    <row r="179" spans="2:8" ht="12.75">
      <c r="B179" s="1" t="s">
        <v>38</v>
      </c>
      <c r="H179" s="1" t="s">
        <v>164</v>
      </c>
    </row>
  </sheetData>
  <sheetProtection/>
  <mergeCells count="18">
    <mergeCell ref="G11:G12"/>
    <mergeCell ref="H11:H12"/>
    <mergeCell ref="A11:A12"/>
    <mergeCell ref="B11:B12"/>
    <mergeCell ref="C11:C12"/>
    <mergeCell ref="D11:D12"/>
    <mergeCell ref="E11:E12"/>
    <mergeCell ref="F11:F12"/>
    <mergeCell ref="I11:I12"/>
    <mergeCell ref="J11:J12"/>
    <mergeCell ref="G1:I1"/>
    <mergeCell ref="G2:J2"/>
    <mergeCell ref="G3:J3"/>
    <mergeCell ref="G4:J4"/>
    <mergeCell ref="G5:J5"/>
    <mergeCell ref="G6:J6"/>
    <mergeCell ref="A8:H9"/>
    <mergeCell ref="H10:J10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2019-10-18T06:50:27Z</cp:lastPrinted>
  <dcterms:created xsi:type="dcterms:W3CDTF">2012-07-23T09:33:14Z</dcterms:created>
  <dcterms:modified xsi:type="dcterms:W3CDTF">2019-10-18T06:50:35Z</dcterms:modified>
  <cp:category/>
  <cp:version/>
  <cp:contentType/>
  <cp:contentStatus/>
</cp:coreProperties>
</file>