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4" windowWidth="11340" windowHeight="9624" activeTab="0"/>
  </bookViews>
  <sheets>
    <sheet name="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<sst xmlns="http://schemas.openxmlformats.org/spreadsheetml/2006/main" count="645" uniqueCount="198">
  <si>
    <t>Другие общегосударственные вопросы</t>
  </si>
  <si>
    <t>Мобилизационная и вневойсковая подготовка</t>
  </si>
  <si>
    <t>Благоустройство</t>
  </si>
  <si>
    <t>540</t>
  </si>
  <si>
    <t>244</t>
  </si>
  <si>
    <t>111</t>
  </si>
  <si>
    <t>851</t>
  </si>
  <si>
    <t>121</t>
  </si>
  <si>
    <t>122</t>
  </si>
  <si>
    <t>Коммунальное хозяйство</t>
  </si>
  <si>
    <t>112</t>
  </si>
  <si>
    <t>242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</si>
  <si>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</si>
  <si>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</si>
  <si>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</si>
  <si>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</si>
  <si>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 Совета депутатов</t>
  </si>
  <si>
    <t xml:space="preserve">МО ГП "Северомуйское" </t>
  </si>
  <si>
    <t xml:space="preserve">"Об исполнении бюджета МО ГП </t>
  </si>
  <si>
    <t>Приложение № 4</t>
  </si>
  <si>
    <t>Прочая закупка товаров, работ и услуг для обеспечения государственных (муниципальных) нужд</t>
  </si>
  <si>
    <t>831</t>
  </si>
  <si>
    <t>Жилищное хозяйство</t>
  </si>
  <si>
    <t>99 9 01 81010</t>
  </si>
  <si>
    <t>99 9 02 81030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</si>
  <si>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</si>
  <si>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</si>
  <si>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99 9 01 81020</t>
  </si>
  <si>
    <t>853</t>
  </si>
  <si>
    <t>99 9 09 82420</t>
  </si>
  <si>
    <t>99 9 10 82420</t>
  </si>
  <si>
    <t>02 1 01 82910</t>
  </si>
  <si>
    <t>99 9 03 82900</t>
  </si>
  <si>
    <t>99 9 13 82600</t>
  </si>
  <si>
    <t>99 9 14 63010</t>
  </si>
  <si>
    <t>99 9 04 83590</t>
  </si>
  <si>
    <t>119</t>
  </si>
  <si>
    <t>99 9 05 51180</t>
  </si>
  <si>
    <t>99 9 06 82300</t>
  </si>
  <si>
    <t>99 9 07 82420</t>
  </si>
  <si>
    <t>99 9 08 62030</t>
  </si>
  <si>
    <t>Непрограммные расходы</t>
  </si>
  <si>
    <t>01 1 01 83110</t>
  </si>
  <si>
    <t>01 2 02 83120</t>
  </si>
  <si>
    <t>Социальное обеспечение населения</t>
  </si>
  <si>
    <t>99 9 12 73180</t>
  </si>
  <si>
    <t>РЗ ПР</t>
  </si>
  <si>
    <t>ЦСР</t>
  </si>
  <si>
    <t>ВР</t>
  </si>
  <si>
    <t>Общегосударственные вопросы</t>
  </si>
  <si>
    <t>01 00</t>
  </si>
  <si>
    <t>0000000000</t>
  </si>
  <si>
    <t>Функционирование высшего должностного лица субъекта РФ и муниципального образования</t>
  </si>
  <si>
    <t>01 02</t>
  </si>
  <si>
    <t>Расходы</t>
  </si>
  <si>
    <t>Фонд оплаты труда государственных (муниципальных) органов (Заработная плата)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</si>
  <si>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(Начисления на выплаты по оплате труда)</t>
  </si>
  <si>
    <t>01 03</t>
  </si>
  <si>
    <t>Иные выплаты персоналу государственных (муниципальных органов, за исключением фонда оплаты труда (Прочие выплаты)</t>
  </si>
  <si>
    <t>Оплата работ, услуг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</si>
  <si>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</si>
  <si>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обеспечения государственных (муниципальных) нужд </t>
  </si>
  <si>
    <t>Функционирование высших исполнительных органов государственной власти субъектов РФ, местных администраций</t>
  </si>
  <si>
    <t>01 04</t>
  </si>
  <si>
    <t>Иные выплаты персоналу государственных (муниципальных) органов, за исключением фонда оплаты труда (Прочие выплаты)</t>
  </si>
  <si>
    <t>Уплата прочих налогов, сборов (Прочие расходы)</t>
  </si>
  <si>
    <t>Уплата иных платежей (Прочие расходы)</t>
  </si>
  <si>
    <t>Вспомогательная деятельность в области государственного управления</t>
  </si>
  <si>
    <t>01 13</t>
  </si>
  <si>
    <t xml:space="preserve"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</si>
  <si>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(в части выплаты просроченных бюджетных обязательств)</t>
  </si>
  <si>
    <t>99 9 03 82910</t>
  </si>
  <si>
    <t>99 9 03 74160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</si>
  <si>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</si>
  <si>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>99 9 04 82900</t>
  </si>
  <si>
    <t>Фонд оплаты труда казенных учреждений (Заработная плата)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</si>
  <si>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</si>
  <si>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Фонд оплаты труда казенных учреждений (общественные работы)</t>
  </si>
  <si>
    <t>99 9 04 83600</t>
  </si>
  <si>
    <t>99 9 04 74220</t>
  </si>
  <si>
    <t>Иные выплаты персоналу учреждений, за исключением фонда оплаты труда (Прочие выплаты)</t>
  </si>
  <si>
    <t>Взносы по обязательному социальному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</si>
  <si>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99 9 04 83700</t>
  </si>
  <si>
    <t>Национальная оборона</t>
  </si>
  <si>
    <t>02 03</t>
  </si>
  <si>
    <t>03 09</t>
  </si>
  <si>
    <t>Национальная экономика</t>
  </si>
  <si>
    <t>04 09</t>
  </si>
  <si>
    <t>Дорожное хозяйство (дорожные фонды)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</si>
  <si>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</si>
  <si>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 (Прочие работы, услуги)</t>
  </si>
  <si>
    <t>Другие вопросы в области национальной экономики</t>
  </si>
  <si>
    <t>04 12</t>
  </si>
  <si>
    <t>Внесение изменений в генеральный план землепользования и застройки территорий</t>
  </si>
  <si>
    <t>Жилищно-коммунальное хозяйство</t>
  </si>
  <si>
    <t>05 00</t>
  </si>
  <si>
    <t>05 01</t>
  </si>
  <si>
    <t>Снос аварийного и непригодного для проживания жилищного фонда и рекультивация земель</t>
  </si>
  <si>
    <t>99 9 09 29200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</si>
  <si>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</si>
  <si>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05 02</t>
  </si>
  <si>
    <t>Разработка схем водоснабжения, водоотведения и схем теплоснабжения</t>
  </si>
  <si>
    <t>05 03</t>
  </si>
  <si>
    <t>Программные расходы                                                     Программа №2 Подпрограмма №1</t>
  </si>
  <si>
    <t>Прочая закупка товаров, работ и услуг для обеспечения государственных (муниципальных) нужд (Коммунальные услуги)</t>
  </si>
  <si>
    <t>Профессиональная подготовка, переподготовка и повышение квалификации</t>
  </si>
  <si>
    <t>07 05</t>
  </si>
  <si>
    <t xml:space="preserve">Непрограммные расходы                                                     </t>
  </si>
  <si>
    <t>0,00</t>
  </si>
  <si>
    <t xml:space="preserve">Культура, кинематография                   
Программные расходы </t>
  </si>
  <si>
    <t>08 01</t>
  </si>
  <si>
    <t>Культура                                                                Программные расходы                                                                                      Программа №1 Подпрограмма №1</t>
  </si>
  <si>
    <t>99 9 01 82980</t>
  </si>
  <si>
    <t>Закупка товаров, работ, услуг в сфере информационно-коммуникационных технологий (Услуги связи)</t>
  </si>
  <si>
    <t>Уплата налога на имущество организаций и земельного налога (Прочие расходы)</t>
  </si>
  <si>
    <t>0801</t>
  </si>
  <si>
    <t>99 9 01 83110</t>
  </si>
  <si>
    <t>Культура (библиотека)                                                            Программные расходы                                                                                       Программа №1 Подпрограмма №2</t>
  </si>
  <si>
    <t>Поступление нефинансовых активов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</si>
  <si>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</si>
  <si>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R5190</t>
  </si>
  <si>
    <t>01 2 02 L5190</t>
  </si>
  <si>
    <t>01 2 02 80300</t>
  </si>
  <si>
    <t>01 2 02 72950</t>
  </si>
  <si>
    <t>Социальная политика</t>
  </si>
  <si>
    <t>10 03</t>
  </si>
  <si>
    <t>Иные выплаты персоналу учреждений, за исключением фонда оплаты труда (Пособия по социальной помощи населению)</t>
  </si>
  <si>
    <t>Физическая культура</t>
  </si>
  <si>
    <t>Массовый спорт</t>
  </si>
  <si>
    <t>11 02</t>
  </si>
  <si>
    <t>99 9 15 74150</t>
  </si>
  <si>
    <t>Межбюджетные трасферты общего характера бюджетам бюджетной системы РФ</t>
  </si>
  <si>
    <t>14 03</t>
  </si>
  <si>
    <t>Прочие межбюджетные трасферты общего характера</t>
  </si>
  <si>
    <t>Иные межбюджетные трансферты (Перечисления другим бюджетам бюджетной системы РФ)</t>
  </si>
  <si>
    <t>Итого</t>
  </si>
  <si>
    <t>96 00</t>
  </si>
  <si>
    <t>99 9 04 S2160</t>
  </si>
  <si>
    <t xml:space="preserve">Субсидии </t>
  </si>
  <si>
    <t>99 9 10 S2А70</t>
  </si>
  <si>
    <t>Мероприятие Приобретение уличных светильников</t>
  </si>
  <si>
    <t xml:space="preserve">Расходы на укрепление материальной базы </t>
  </si>
  <si>
    <t>01 1 01 S2950</t>
  </si>
  <si>
    <t>Фонд оплаты труда казенных учреждений (Заработная плата) РБ</t>
  </si>
  <si>
    <t>01 1 01 S2160</t>
  </si>
  <si>
    <t>01 1 01 S2340</t>
  </si>
  <si>
    <t>01 2 02 S2160</t>
  </si>
  <si>
    <t>01 2 02 S2340</t>
  </si>
  <si>
    <t>Капитальный ремонт сз СОК "Жемчужина"</t>
  </si>
  <si>
    <t>09 2 02 55050</t>
  </si>
  <si>
    <t>09 2 02 74330</t>
  </si>
  <si>
    <t>ФИЗИЧЕСКАЯ КУЛЬТУРА И СПОРТ</t>
  </si>
  <si>
    <t>11 00</t>
  </si>
  <si>
    <t>99 9 00 00000</t>
  </si>
  <si>
    <t>Прочая закупка товаров, работ и услуг для обеспечения
государственных (муниципальных) нужд</t>
  </si>
  <si>
    <t>Результат исполнения бюджета (дефицит / профицит)</t>
  </si>
  <si>
    <t>79 00</t>
  </si>
  <si>
    <t>(тыс.руб)</t>
  </si>
  <si>
    <t>% исполнения</t>
  </si>
  <si>
    <t>Ведущий специалист по финансово-бюджетным вопросам</t>
  </si>
  <si>
    <t>Л.С.Чащина</t>
  </si>
  <si>
    <t>1-Наименование показателя</t>
  </si>
  <si>
    <t>4-Утвержденные бюджетные назначения</t>
  </si>
  <si>
    <t>5-Исполнено</t>
  </si>
  <si>
    <t>243</t>
  </si>
  <si>
    <t>99 9 04 74030</t>
  </si>
  <si>
    <t>633</t>
  </si>
  <si>
    <t>121 
(20-51180-000</t>
  </si>
  <si>
    <t>122 
(20-51180-000</t>
  </si>
  <si>
    <t>129 
(20-51180-000</t>
  </si>
  <si>
    <t>244 
(20-51180-000</t>
  </si>
  <si>
    <t>Мероприятия по сносу аварийного и непригодного для проживания жилищного фонда и рекультивации земли РБ</t>
  </si>
  <si>
    <t>99 9 09 S2A80</t>
  </si>
  <si>
    <t>МЕРОПРИЯТИЯ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</t>
  </si>
  <si>
    <t>00 0 00 00000</t>
  </si>
  <si>
    <t>Мероприятия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</t>
  </si>
  <si>
    <t>99 9 09 S2980</t>
  </si>
  <si>
    <t>244                                       (811-20008)</t>
  </si>
  <si>
    <t>Мероприятия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 (софинансирование с МБ)</t>
  </si>
  <si>
    <t>244                                 (811-20008)</t>
  </si>
  <si>
    <t>99 9 15 82870</t>
  </si>
  <si>
    <t>Проф.переподготовка, повышение квалификации глав миниципальных образований и мун.служающих</t>
  </si>
  <si>
    <t>99 9 15 S2870</t>
  </si>
  <si>
    <t>244                (820-20001)</t>
  </si>
  <si>
    <t>Обучение Глав для достижения результатов регионального проекта "Увеличение доходов консолидированного бюджета от имущественных налогов"</t>
  </si>
  <si>
    <t>99 9 15 74420</t>
  </si>
  <si>
    <t>244                 (812-20002)</t>
  </si>
  <si>
    <t>111                (805-20004)</t>
  </si>
  <si>
    <t>119               (805-20004)</t>
  </si>
  <si>
    <t>111               (805-20004)</t>
  </si>
  <si>
    <t>119                (805-20004)</t>
  </si>
  <si>
    <t>119                    (805-20004)</t>
  </si>
  <si>
    <t>244                        (20-55050-00000-00003)</t>
  </si>
  <si>
    <t>244                                                             (811-20016)</t>
  </si>
  <si>
    <t>112                           (805-20007)</t>
  </si>
  <si>
    <t>Ведомственная структура расходов  бюджета муниципального образования городского поселения "Северомуйское за 2 квартал 2020 года.</t>
  </si>
  <si>
    <t>"Северомуйское" за 2 кв. 2020 года"</t>
  </si>
  <si>
    <t>от 03.09.2020 г. №___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</si>
</sst>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3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9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/>
    </xf>
    <xf numFmtId="4" fontId="19" fillId="33" borderId="10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/>
    </xf>
    <xf numFmtId="49" fontId="20" fillId="33" borderId="10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/>
    </xf>
    <xf numFmtId="4" fontId="20" fillId="33" borderId="10" xfId="0" applyNumberFormat="1" applyFont="1" applyFill="1" applyBorder="1" applyAlignment="1">
      <alignment/>
    </xf>
    <xf numFmtId="49" fontId="21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vertical="center" wrapText="1"/>
    </xf>
    <xf numFmtId="49" fontId="21" fillId="33" borderId="12" xfId="0" applyNumberFormat="1" applyFont="1" applyFill="1" applyBorder="1" applyAlignment="1">
      <alignment vertical="center" wrapText="1"/>
    </xf>
    <xf numFmtId="49" fontId="19" fillId="33" borderId="10" xfId="0" applyNumberFormat="1" applyFont="1" applyFill="1" applyBorder="1" applyAlignment="1">
      <alignment vertical="center" wrapText="1"/>
    </xf>
    <xf numFmtId="176" fontId="21" fillId="33" borderId="10" xfId="0" applyNumberFormat="1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vertical="center" wrapText="1"/>
    </xf>
    <xf numFmtId="49" fontId="21" fillId="33" borderId="10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/>
    </xf>
    <xf numFmtId="49" fontId="21" fillId="33" borderId="12" xfId="0" applyNumberFormat="1" applyFont="1" applyFill="1" applyBorder="1" applyAlignment="1">
      <alignment horizontal="center"/>
    </xf>
    <xf numFmtId="4" fontId="21" fillId="33" borderId="12" xfId="0" applyNumberFormat="1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wrapText="1"/>
    </xf>
    <xf numFmtId="2" fontId="19" fillId="33" borderId="10" xfId="0" applyNumberFormat="1" applyFont="1" applyFill="1" applyBorder="1" applyAlignment="1">
      <alignment horizontal="right" wrapText="1"/>
    </xf>
    <xf numFmtId="49" fontId="20" fillId="33" borderId="10" xfId="0" applyNumberFormat="1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right" wrapText="1"/>
    </xf>
    <xf numFmtId="49" fontId="21" fillId="33" borderId="13" xfId="0" applyNumberFormat="1" applyFont="1" applyFill="1" applyBorder="1" applyAlignment="1">
      <alignment vertical="center" wrapText="1"/>
    </xf>
    <xf numFmtId="2" fontId="21" fillId="33" borderId="13" xfId="0" applyNumberFormat="1" applyFont="1" applyFill="1" applyBorder="1" applyAlignment="1">
      <alignment horizontal="right" wrapText="1"/>
    </xf>
    <xf numFmtId="49" fontId="21" fillId="33" borderId="13" xfId="0" applyNumberFormat="1" applyFont="1" applyFill="1" applyBorder="1" applyAlignment="1">
      <alignment horizontal="center" wrapText="1"/>
    </xf>
    <xf numFmtId="49" fontId="19" fillId="33" borderId="14" xfId="0" applyNumberFormat="1" applyFont="1" applyFill="1" applyBorder="1" applyAlignment="1">
      <alignment horizontal="left" vertical="center" wrapText="1"/>
    </xf>
    <xf numFmtId="49" fontId="19" fillId="33" borderId="14" xfId="0" applyNumberFormat="1" applyFont="1" applyFill="1" applyBorder="1" applyAlignment="1">
      <alignment horizontal="center"/>
    </xf>
    <xf numFmtId="4" fontId="19" fillId="33" borderId="14" xfId="0" applyNumberFormat="1" applyFont="1" applyFill="1" applyBorder="1" applyAlignment="1">
      <alignment/>
    </xf>
    <xf numFmtId="49" fontId="20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>
      <alignment/>
    </xf>
    <xf numFmtId="4" fontId="21" fillId="33" borderId="10" xfId="0" applyNumberFormat="1" applyFont="1" applyFill="1" applyBorder="1" applyAlignment="1">
      <alignment horizontal="right"/>
    </xf>
    <xf numFmtId="2" fontId="21" fillId="33" borderId="10" xfId="0" applyNumberFormat="1" applyFont="1" applyFill="1" applyBorder="1" applyAlignment="1">
      <alignment horizontal="right" wrapText="1"/>
    </xf>
    <xf numFmtId="4" fontId="21" fillId="33" borderId="10" xfId="0" applyNumberFormat="1" applyFont="1" applyFill="1" applyBorder="1" applyAlignment="1">
      <alignment/>
    </xf>
    <xf numFmtId="0" fontId="22" fillId="33" borderId="10" xfId="52" applyFont="1" applyFill="1" applyBorder="1" applyAlignment="1">
      <alignment horizontal="left" vertical="center" wrapText="1"/>
      <protection/>
    </xf>
    <xf numFmtId="0" fontId="23" fillId="33" borderId="10" xfId="52" applyFont="1" applyFill="1" applyBorder="1" applyAlignment="1">
      <alignment horizontal="left" vertical="center" wrapText="1"/>
      <protection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right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4" fontId="22" fillId="33" borderId="0" xfId="0" applyNumberFormat="1" applyFont="1" applyFill="1" applyBorder="1" applyAlignment="1">
      <alignment horizontal="center" vertical="center"/>
    </xf>
    <xf numFmtId="169" fontId="22" fillId="33" borderId="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wrapText="1"/>
    </xf>
    <xf numFmtId="10" fontId="23" fillId="33" borderId="1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4" fontId="22" fillId="33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ункциональ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">
      <selection activeCell="G7" sqref="G7"/>
    </sheetView>
  </sheetViews>
  <sheetFormatPr defaultColWidth="9.125" defaultRowHeight="12.75"/>
  <cols>
    <col min="1" max="1" width="30.50390625" style="41" customWidth="1"/>
    <col min="2" max="2" width="8.125" style="41" customWidth="1"/>
    <col min="3" max="3" width="12.25390625" style="41" customWidth="1"/>
    <col min="4" max="4" width="6.75390625" style="41" customWidth="1"/>
    <col min="5" max="5" width="13.75390625" style="41" customWidth="1"/>
    <col min="6" max="6" width="14.375" style="41" customWidth="1"/>
    <col min="7" max="7" width="10.00390625" style="41" customWidth="1"/>
    <col min="8" max="8" width="10.875" style="41" customWidth="1"/>
    <col min="9" max="9" width="7.625" style="49" customWidth="1"/>
    <col min="10" max="10" width="6.00390625" style="41" customWidth="1"/>
    <col min="11" max="16384" width="9.125" style="41" customWidth="1"/>
  </cols>
  <sheetData>
    <row r="1" spans="7:9" ht="12.75">
      <c r="G1" s="42" t="s">
        <v>19</v>
      </c>
      <c r="H1" s="42"/>
      <c r="I1" s="42"/>
    </row>
    <row r="2" spans="7:10" ht="12.75">
      <c r="G2" s="43" t="s">
        <v>16</v>
      </c>
      <c r="H2" s="43"/>
      <c r="I2" s="43"/>
      <c r="J2" s="43"/>
    </row>
    <row r="3" spans="7:10" ht="12.75">
      <c r="G3" s="44" t="s">
        <v>17</v>
      </c>
      <c r="H3" s="44"/>
      <c r="I3" s="44"/>
      <c r="J3" s="44"/>
    </row>
    <row r="4" spans="7:10" ht="12.75">
      <c r="G4" s="43" t="s">
        <v>18</v>
      </c>
      <c r="H4" s="43"/>
      <c r="I4" s="43"/>
      <c r="J4" s="43"/>
    </row>
    <row r="5" spans="7:10" ht="12.75">
      <c r="G5" s="43" t="s">
        <v>196</v>
      </c>
      <c r="H5" s="43"/>
      <c r="I5" s="43"/>
      <c r="J5" s="43"/>
    </row>
    <row r="6" spans="7:10" ht="14.25" customHeight="1">
      <c r="G6" s="45" t="s">
        <v>197</v>
      </c>
      <c r="H6" s="45"/>
      <c r="I6" s="45"/>
      <c r="J6" s="45"/>
    </row>
    <row r="7" spans="2:7" ht="10.5" customHeight="1">
      <c r="B7" s="46"/>
      <c r="C7" s="47"/>
      <c r="G7" s="48"/>
    </row>
    <row r="8" spans="1:8" ht="12.75" customHeight="1">
      <c r="A8" s="50" t="s">
        <v>195</v>
      </c>
      <c r="B8" s="50"/>
      <c r="C8" s="50"/>
      <c r="D8" s="50"/>
      <c r="E8" s="50"/>
      <c r="F8" s="50"/>
      <c r="G8" s="50"/>
      <c r="H8" s="50"/>
    </row>
    <row r="9" spans="1:8" ht="21.75" customHeight="1">
      <c r="A9" s="50"/>
      <c r="B9" s="50"/>
      <c r="C9" s="50"/>
      <c r="D9" s="50"/>
      <c r="E9" s="50"/>
      <c r="F9" s="50"/>
      <c r="G9" s="50"/>
      <c r="H9" s="50"/>
    </row>
    <row r="10" spans="2:10" ht="14.25" customHeight="1">
      <c r="B10" s="51"/>
      <c r="C10" s="52"/>
      <c r="H10" s="53"/>
      <c r="I10" s="53"/>
      <c r="J10" s="53"/>
    </row>
    <row r="11" spans="1:10" ht="12.75">
      <c r="A11" s="54"/>
      <c r="B11" s="54"/>
      <c r="C11" s="55"/>
      <c r="D11" s="55"/>
      <c r="E11" s="55"/>
      <c r="F11" s="55"/>
      <c r="G11" s="55" t="s">
        <v>157</v>
      </c>
      <c r="H11" s="56"/>
      <c r="I11" s="56"/>
      <c r="J11" s="57"/>
    </row>
    <row r="12" spans="1:10" ht="21.75" customHeight="1">
      <c r="A12" s="1" t="s">
        <v>161</v>
      </c>
      <c r="B12" s="1" t="s">
        <v>46</v>
      </c>
      <c r="C12" s="1" t="s">
        <v>47</v>
      </c>
      <c r="D12" s="1" t="s">
        <v>48</v>
      </c>
      <c r="E12" s="2" t="s">
        <v>162</v>
      </c>
      <c r="F12" s="2" t="s">
        <v>163</v>
      </c>
      <c r="G12" s="58" t="s">
        <v>158</v>
      </c>
      <c r="H12" s="56"/>
      <c r="I12" s="56"/>
      <c r="J12" s="57"/>
    </row>
    <row r="13" spans="1:9" ht="16.5" customHeight="1">
      <c r="A13" s="3" t="s">
        <v>49</v>
      </c>
      <c r="B13" s="1" t="s">
        <v>50</v>
      </c>
      <c r="C13" s="4" t="s">
        <v>51</v>
      </c>
      <c r="D13" s="1" t="s">
        <v>14</v>
      </c>
      <c r="E13" s="5">
        <f>E14+E20+E30</f>
        <v>2723100</v>
      </c>
      <c r="F13" s="5">
        <f>F14+F20+F30</f>
        <v>1304797.5400000003</v>
      </c>
      <c r="G13" s="59">
        <f>F13/E13*100%</f>
        <v>0.4791588777496237</v>
      </c>
      <c r="H13" s="60"/>
      <c r="I13" s="60"/>
    </row>
    <row r="14" spans="1:7" ht="21.75" customHeight="1">
      <c r="A14" s="3" t="s">
        <v>52</v>
      </c>
      <c r="B14" s="4" t="s">
        <v>53</v>
      </c>
      <c r="C14" s="4" t="s">
        <v>51</v>
      </c>
      <c r="D14" s="4" t="s">
        <v>14</v>
      </c>
      <c r="E14" s="6">
        <f>E15</f>
        <v>1191030</v>
      </c>
      <c r="F14" s="6">
        <f>F15</f>
        <v>552174.35</v>
      </c>
      <c r="G14" s="59">
        <f aca="true" t="shared" si="0" ref="G14:G76">F14/E14*100%</f>
        <v>0.46361078226409075</v>
      </c>
    </row>
    <row r="15" spans="1:7" ht="21.75" customHeight="1">
      <c r="A15" s="7" t="s">
        <v>54</v>
      </c>
      <c r="B15" s="8" t="s">
        <v>53</v>
      </c>
      <c r="C15" s="8" t="s">
        <v>51</v>
      </c>
      <c r="D15" s="8" t="s">
        <v>14</v>
      </c>
      <c r="E15" s="9">
        <f>E16+E18+E17</f>
        <v>1191030</v>
      </c>
      <c r="F15" s="9">
        <f>F16+F18+F17</f>
        <v>552174.35</v>
      </c>
      <c r="G15" s="59">
        <f t="shared" si="0"/>
        <v>0.46361078226409075</v>
      </c>
    </row>
    <row r="16" spans="1:7" ht="21.75" customHeight="1">
      <c r="A16" s="10" t="s">
        <v>55</v>
      </c>
      <c r="B16" s="11" t="s">
        <v>53</v>
      </c>
      <c r="C16" s="11" t="s">
        <v>23</v>
      </c>
      <c r="D16" s="11" t="s">
        <v>7</v>
      </c>
      <c r="E16" s="18">
        <v>894000</v>
      </c>
      <c r="F16" s="18">
        <f>119893.69+84346.77+66957.92+61593.35+79368.48</f>
        <v>412160.20999999996</v>
      </c>
      <c r="G16" s="59">
        <f t="shared" si="0"/>
        <v>0.461029317673378</v>
      </c>
    </row>
    <row r="17" spans="1:7" ht="21.75" customHeight="1">
      <c r="A17" s="10" t="s">
        <v>58</v>
      </c>
      <c r="B17" s="11" t="s">
        <v>53</v>
      </c>
      <c r="C17" s="11" t="s">
        <v>23</v>
      </c>
      <c r="D17" s="11" t="s">
        <v>8</v>
      </c>
      <c r="E17" s="18">
        <v>40000</v>
      </c>
      <c r="F17" s="18">
        <v>32892.59</v>
      </c>
      <c r="G17" s="59">
        <f t="shared" si="0"/>
        <v>0.8223147499999999</v>
      </c>
    </row>
    <row r="18" spans="1:7" ht="21.75" customHeight="1">
      <c r="A18" s="10" t="s">
        <v>56</v>
      </c>
      <c r="B18" s="11" t="s">
        <v>53</v>
      </c>
      <c r="C18" s="11" t="s">
        <v>23</v>
      </c>
      <c r="D18" s="11" t="s">
        <v>25</v>
      </c>
      <c r="E18" s="18">
        <v>257030</v>
      </c>
      <c r="F18" s="18">
        <f>44329.79+20221.29+42570.47</f>
        <v>107121.55</v>
      </c>
      <c r="G18" s="59">
        <f t="shared" si="0"/>
        <v>0.4167667198381512</v>
      </c>
    </row>
    <row r="19" spans="1:12" ht="0" customHeight="1" hidden="1">
      <c r="A19" s="12"/>
      <c r="B19" s="13"/>
      <c r="C19" s="13"/>
      <c r="D19" s="13"/>
      <c r="E19" s="13"/>
      <c r="F19" s="13"/>
      <c r="G19" s="59" t="e">
        <f t="shared" si="0"/>
        <v>#DIV/0!</v>
      </c>
      <c r="L19" s="61"/>
    </row>
    <row r="20" spans="1:7" ht="18" customHeight="1">
      <c r="A20" s="3" t="s">
        <v>13</v>
      </c>
      <c r="B20" s="4" t="s">
        <v>57</v>
      </c>
      <c r="C20" s="4" t="s">
        <v>51</v>
      </c>
      <c r="D20" s="4" t="s">
        <v>14</v>
      </c>
      <c r="E20" s="6">
        <f>E21+E25</f>
        <v>996820</v>
      </c>
      <c r="F20" s="6">
        <f>F21+F25</f>
        <v>511901.6000000001</v>
      </c>
      <c r="G20" s="59">
        <f t="shared" si="0"/>
        <v>0.5135346401556952</v>
      </c>
    </row>
    <row r="21" spans="1:7" ht="21.75" customHeight="1">
      <c r="A21" s="7" t="s">
        <v>54</v>
      </c>
      <c r="B21" s="8" t="s">
        <v>57</v>
      </c>
      <c r="C21" s="8" t="s">
        <v>51</v>
      </c>
      <c r="D21" s="8" t="s">
        <v>14</v>
      </c>
      <c r="E21" s="9">
        <f>E22+E23+E24</f>
        <v>947380</v>
      </c>
      <c r="F21" s="9">
        <f>F22+F23+F24</f>
        <v>511901.6000000001</v>
      </c>
      <c r="G21" s="59">
        <f t="shared" si="0"/>
        <v>0.5403339736958771</v>
      </c>
    </row>
    <row r="22" spans="1:7" ht="21.75" customHeight="1">
      <c r="A22" s="10" t="s">
        <v>55</v>
      </c>
      <c r="B22" s="11" t="s">
        <v>57</v>
      </c>
      <c r="C22" s="11" t="s">
        <v>24</v>
      </c>
      <c r="D22" s="11" t="s">
        <v>7</v>
      </c>
      <c r="E22" s="18">
        <v>688000</v>
      </c>
      <c r="F22" s="18">
        <f>35190.34+137410.59+70531.14+49115.84+23484.84+84688.38</f>
        <v>400421.13000000006</v>
      </c>
      <c r="G22" s="59">
        <f t="shared" si="0"/>
        <v>0.5820074563953489</v>
      </c>
    </row>
    <row r="23" spans="1:7" ht="21.75" customHeight="1">
      <c r="A23" s="10" t="s">
        <v>58</v>
      </c>
      <c r="B23" s="11" t="s">
        <v>57</v>
      </c>
      <c r="C23" s="11" t="s">
        <v>24</v>
      </c>
      <c r="D23" s="11" t="s">
        <v>8</v>
      </c>
      <c r="E23" s="18">
        <v>51600</v>
      </c>
      <c r="F23" s="18">
        <f>31654</f>
        <v>31654</v>
      </c>
      <c r="G23" s="59">
        <f t="shared" si="0"/>
        <v>0.6134496124031008</v>
      </c>
    </row>
    <row r="24" spans="1:7" ht="21.75" customHeight="1">
      <c r="A24" s="10" t="s">
        <v>26</v>
      </c>
      <c r="B24" s="11" t="s">
        <v>57</v>
      </c>
      <c r="C24" s="11" t="s">
        <v>24</v>
      </c>
      <c r="D24" s="11" t="s">
        <v>25</v>
      </c>
      <c r="E24" s="18">
        <v>207780</v>
      </c>
      <c r="F24" s="18">
        <f>50160.51+14832.98+14832.98</f>
        <v>79826.47</v>
      </c>
      <c r="G24" s="59">
        <f t="shared" si="0"/>
        <v>0.38418745788815095</v>
      </c>
    </row>
    <row r="25" spans="1:7" ht="21.75" customHeight="1">
      <c r="A25" s="7" t="s">
        <v>59</v>
      </c>
      <c r="B25" s="8" t="s">
        <v>57</v>
      </c>
      <c r="C25" s="8" t="s">
        <v>24</v>
      </c>
      <c r="D25" s="8" t="s">
        <v>14</v>
      </c>
      <c r="E25" s="9">
        <f>E26+E27+E28</f>
        <v>49440</v>
      </c>
      <c r="F25" s="9">
        <f>F26+F27+F28</f>
        <v>0</v>
      </c>
      <c r="G25" s="59">
        <f t="shared" si="0"/>
        <v>0</v>
      </c>
    </row>
    <row r="26" spans="1:7" ht="21.75" customHeight="1">
      <c r="A26" s="10" t="s">
        <v>60</v>
      </c>
      <c r="B26" s="11" t="s">
        <v>57</v>
      </c>
      <c r="C26" s="11" t="s">
        <v>24</v>
      </c>
      <c r="D26" s="11" t="s">
        <v>11</v>
      </c>
      <c r="E26" s="18">
        <v>9440</v>
      </c>
      <c r="F26" s="18">
        <v>0</v>
      </c>
      <c r="G26" s="59">
        <f t="shared" si="0"/>
        <v>0</v>
      </c>
    </row>
    <row r="27" spans="1:7" ht="21.75" customHeight="1">
      <c r="A27" s="10" t="s">
        <v>61</v>
      </c>
      <c r="B27" s="11" t="s">
        <v>57</v>
      </c>
      <c r="C27" s="11" t="s">
        <v>24</v>
      </c>
      <c r="D27" s="11" t="s">
        <v>4</v>
      </c>
      <c r="E27" s="18">
        <v>40000</v>
      </c>
      <c r="F27" s="18">
        <v>0</v>
      </c>
      <c r="G27" s="59">
        <f t="shared" si="0"/>
        <v>0</v>
      </c>
    </row>
    <row r="28" spans="1:7" ht="12" customHeight="1" hidden="1">
      <c r="A28" s="10" t="s">
        <v>66</v>
      </c>
      <c r="B28" s="11" t="s">
        <v>57</v>
      </c>
      <c r="C28" s="11" t="s">
        <v>24</v>
      </c>
      <c r="D28" s="11" t="s">
        <v>28</v>
      </c>
      <c r="E28" s="18">
        <v>0</v>
      </c>
      <c r="F28" s="18">
        <v>0</v>
      </c>
      <c r="G28" s="59" t="e">
        <f t="shared" si="0"/>
        <v>#DIV/0!</v>
      </c>
    </row>
    <row r="29" spans="1:7" ht="0" customHeight="1" hidden="1">
      <c r="A29" s="12"/>
      <c r="B29" s="13"/>
      <c r="C29" s="13"/>
      <c r="D29" s="13"/>
      <c r="E29" s="13"/>
      <c r="F29" s="13"/>
      <c r="G29" s="59" t="e">
        <f t="shared" si="0"/>
        <v>#DIV/0!</v>
      </c>
    </row>
    <row r="30" spans="1:7" ht="21.75" customHeight="1">
      <c r="A30" s="3" t="s">
        <v>62</v>
      </c>
      <c r="B30" s="4" t="s">
        <v>63</v>
      </c>
      <c r="C30" s="4" t="s">
        <v>51</v>
      </c>
      <c r="D30" s="4" t="s">
        <v>14</v>
      </c>
      <c r="E30" s="6">
        <f>E31+E35</f>
        <v>535250</v>
      </c>
      <c r="F30" s="6">
        <f>F31+F35</f>
        <v>240721.59000000003</v>
      </c>
      <c r="G30" s="59">
        <f t="shared" si="0"/>
        <v>0.4497367398411958</v>
      </c>
    </row>
    <row r="31" spans="1:7" ht="21.75" customHeight="1">
      <c r="A31" s="7" t="s">
        <v>54</v>
      </c>
      <c r="B31" s="8" t="s">
        <v>63</v>
      </c>
      <c r="C31" s="8" t="s">
        <v>51</v>
      </c>
      <c r="D31" s="8" t="s">
        <v>14</v>
      </c>
      <c r="E31" s="9">
        <f>E32+E33+E34</f>
        <v>500250</v>
      </c>
      <c r="F31" s="9">
        <f>F32+F33+F34</f>
        <v>240721.59000000003</v>
      </c>
      <c r="G31" s="59">
        <f t="shared" si="0"/>
        <v>0.4812025787106447</v>
      </c>
    </row>
    <row r="32" spans="1:7" ht="21.75" customHeight="1">
      <c r="A32" s="10" t="s">
        <v>55</v>
      </c>
      <c r="B32" s="11" t="s">
        <v>63</v>
      </c>
      <c r="C32" s="11" t="s">
        <v>27</v>
      </c>
      <c r="D32" s="11" t="s">
        <v>7</v>
      </c>
      <c r="E32" s="18">
        <v>375000</v>
      </c>
      <c r="F32" s="18">
        <f>50834.16+54441.83+26723.03+26789.12+30517.03</f>
        <v>189305.17</v>
      </c>
      <c r="G32" s="59">
        <f t="shared" si="0"/>
        <v>0.5048137866666667</v>
      </c>
    </row>
    <row r="33" spans="1:7" ht="21.75" customHeight="1">
      <c r="A33" s="10" t="s">
        <v>64</v>
      </c>
      <c r="B33" s="11" t="s">
        <v>63</v>
      </c>
      <c r="C33" s="11" t="s">
        <v>27</v>
      </c>
      <c r="D33" s="11" t="s">
        <v>8</v>
      </c>
      <c r="E33" s="18">
        <v>32000</v>
      </c>
      <c r="F33" s="18">
        <f>2522</f>
        <v>2522</v>
      </c>
      <c r="G33" s="59">
        <f t="shared" si="0"/>
        <v>0.0788125</v>
      </c>
    </row>
    <row r="34" spans="1:7" ht="21.75" customHeight="1">
      <c r="A34" s="10" t="s">
        <v>56</v>
      </c>
      <c r="B34" s="11" t="s">
        <v>63</v>
      </c>
      <c r="C34" s="11" t="s">
        <v>27</v>
      </c>
      <c r="D34" s="11" t="s">
        <v>25</v>
      </c>
      <c r="E34" s="18">
        <v>93250</v>
      </c>
      <c r="F34" s="18">
        <f>23517.6+8070.37+17306.45</f>
        <v>48894.42</v>
      </c>
      <c r="G34" s="59">
        <f t="shared" si="0"/>
        <v>0.5243369436997319</v>
      </c>
    </row>
    <row r="35" spans="1:7" ht="21.75" customHeight="1">
      <c r="A35" s="7" t="s">
        <v>59</v>
      </c>
      <c r="B35" s="8" t="s">
        <v>63</v>
      </c>
      <c r="C35" s="8" t="s">
        <v>27</v>
      </c>
      <c r="D35" s="8" t="s">
        <v>14</v>
      </c>
      <c r="E35" s="9">
        <f>E36+E37+E38</f>
        <v>35000</v>
      </c>
      <c r="F35" s="9">
        <f>F36+F37+F38</f>
        <v>0</v>
      </c>
      <c r="G35" s="59">
        <f t="shared" si="0"/>
        <v>0</v>
      </c>
    </row>
    <row r="36" spans="1:7" ht="9.75" customHeight="1" hidden="1">
      <c r="A36" s="10" t="s">
        <v>20</v>
      </c>
      <c r="B36" s="11" t="s">
        <v>63</v>
      </c>
      <c r="C36" s="11" t="s">
        <v>27</v>
      </c>
      <c r="D36" s="11" t="s">
        <v>4</v>
      </c>
      <c r="E36" s="18">
        <v>0</v>
      </c>
      <c r="F36" s="18">
        <v>0</v>
      </c>
      <c r="G36" s="59" t="e">
        <f t="shared" si="0"/>
        <v>#DIV/0!</v>
      </c>
    </row>
    <row r="37" spans="1:7" ht="21.75" customHeight="1">
      <c r="A37" s="10" t="s">
        <v>65</v>
      </c>
      <c r="B37" s="11" t="s">
        <v>63</v>
      </c>
      <c r="C37" s="11" t="s">
        <v>27</v>
      </c>
      <c r="D37" s="11" t="s">
        <v>12</v>
      </c>
      <c r="E37" s="18">
        <v>20000</v>
      </c>
      <c r="F37" s="18">
        <v>0</v>
      </c>
      <c r="G37" s="59">
        <f t="shared" si="0"/>
        <v>0</v>
      </c>
    </row>
    <row r="38" spans="1:7" ht="21.75" customHeight="1">
      <c r="A38" s="10" t="s">
        <v>66</v>
      </c>
      <c r="B38" s="11" t="s">
        <v>63</v>
      </c>
      <c r="C38" s="11" t="s">
        <v>27</v>
      </c>
      <c r="D38" s="11" t="s">
        <v>28</v>
      </c>
      <c r="E38" s="18">
        <v>15000</v>
      </c>
      <c r="F38" s="18">
        <v>0</v>
      </c>
      <c r="G38" s="59">
        <f t="shared" si="0"/>
        <v>0</v>
      </c>
    </row>
    <row r="39" spans="1:7" ht="21.75" customHeight="1" hidden="1">
      <c r="A39" s="12"/>
      <c r="B39" s="13"/>
      <c r="C39" s="13"/>
      <c r="D39" s="13"/>
      <c r="E39" s="13"/>
      <c r="F39" s="13"/>
      <c r="G39" s="59" t="e">
        <f t="shared" si="0"/>
        <v>#DIV/0!</v>
      </c>
    </row>
    <row r="40" spans="1:7" ht="21.75" customHeight="1">
      <c r="A40" s="14" t="s">
        <v>67</v>
      </c>
      <c r="B40" s="4" t="s">
        <v>68</v>
      </c>
      <c r="C40" s="4" t="s">
        <v>51</v>
      </c>
      <c r="D40" s="4" t="s">
        <v>14</v>
      </c>
      <c r="E40" s="6">
        <f>E41+E42+E47+E45+E49+E50+E51+E44+E43+E48+E46</f>
        <v>18973717.85</v>
      </c>
      <c r="F40" s="6">
        <f>F41+F42+F47+F45+F49+F50+F51+F44+F43+F46</f>
        <v>101418.41999999998</v>
      </c>
      <c r="G40" s="59">
        <f t="shared" si="0"/>
        <v>0.00534520544691245</v>
      </c>
    </row>
    <row r="41" spans="1:7" ht="21.75" customHeight="1">
      <c r="A41" s="15" t="s">
        <v>69</v>
      </c>
      <c r="B41" s="11" t="s">
        <v>68</v>
      </c>
      <c r="C41" s="11" t="s">
        <v>32</v>
      </c>
      <c r="D41" s="11" t="s">
        <v>21</v>
      </c>
      <c r="E41" s="18">
        <f>863822.8+25102.68-7950+139130.2-286884.2-240603.4</f>
        <v>492618.0800000002</v>
      </c>
      <c r="F41" s="18">
        <v>0</v>
      </c>
      <c r="G41" s="59">
        <f t="shared" si="0"/>
        <v>0</v>
      </c>
    </row>
    <row r="42" spans="1:7" ht="21.75" customHeight="1">
      <c r="A42" s="15" t="s">
        <v>70</v>
      </c>
      <c r="B42" s="11" t="s">
        <v>68</v>
      </c>
      <c r="C42" s="11" t="s">
        <v>71</v>
      </c>
      <c r="D42" s="11" t="s">
        <v>21</v>
      </c>
      <c r="E42" s="18">
        <v>455040</v>
      </c>
      <c r="F42" s="18">
        <v>0</v>
      </c>
      <c r="G42" s="59">
        <f t="shared" si="0"/>
        <v>0</v>
      </c>
    </row>
    <row r="43" spans="1:7" ht="21.75" customHeight="1">
      <c r="A43" s="15" t="s">
        <v>70</v>
      </c>
      <c r="B43" s="11" t="s">
        <v>68</v>
      </c>
      <c r="C43" s="11" t="s">
        <v>71</v>
      </c>
      <c r="D43" s="11" t="s">
        <v>28</v>
      </c>
      <c r="E43" s="18">
        <v>600000</v>
      </c>
      <c r="F43" s="18">
        <v>3158.65</v>
      </c>
      <c r="G43" s="59">
        <f t="shared" si="0"/>
        <v>0.005264416666666667</v>
      </c>
    </row>
    <row r="44" spans="1:7" ht="21.75" customHeight="1">
      <c r="A44" s="15" t="s">
        <v>70</v>
      </c>
      <c r="B44" s="11" t="s">
        <v>68</v>
      </c>
      <c r="C44" s="11" t="s">
        <v>32</v>
      </c>
      <c r="D44" s="11" t="s">
        <v>36</v>
      </c>
      <c r="E44" s="18">
        <v>2000000</v>
      </c>
      <c r="F44" s="18">
        <v>0</v>
      </c>
      <c r="G44" s="59">
        <f t="shared" si="0"/>
        <v>0</v>
      </c>
    </row>
    <row r="45" spans="1:7" ht="21.75" customHeight="1">
      <c r="A45" s="15" t="s">
        <v>70</v>
      </c>
      <c r="B45" s="11" t="s">
        <v>68</v>
      </c>
      <c r="C45" s="11" t="s">
        <v>72</v>
      </c>
      <c r="D45" s="11" t="s">
        <v>21</v>
      </c>
      <c r="E45" s="18">
        <f>15287800</f>
        <v>15287800</v>
      </c>
      <c r="F45" s="18">
        <v>0</v>
      </c>
      <c r="G45" s="59">
        <f t="shared" si="0"/>
        <v>0</v>
      </c>
    </row>
    <row r="46" spans="1:7" ht="9" customHeight="1" hidden="1">
      <c r="A46" s="15" t="s">
        <v>70</v>
      </c>
      <c r="B46" s="11" t="s">
        <v>68</v>
      </c>
      <c r="C46" s="11" t="s">
        <v>74</v>
      </c>
      <c r="D46" s="11" t="s">
        <v>164</v>
      </c>
      <c r="E46" s="18">
        <f>7950</f>
        <v>7950</v>
      </c>
      <c r="F46" s="18">
        <v>7950</v>
      </c>
      <c r="G46" s="59">
        <f t="shared" si="0"/>
        <v>1</v>
      </c>
    </row>
    <row r="47" spans="1:7" ht="9" customHeight="1" hidden="1">
      <c r="A47" s="15" t="s">
        <v>73</v>
      </c>
      <c r="B47" s="11" t="s">
        <v>68</v>
      </c>
      <c r="C47" s="11" t="s">
        <v>74</v>
      </c>
      <c r="D47" s="11" t="s">
        <v>4</v>
      </c>
      <c r="E47" s="18">
        <f>43009.77+12000+3000</f>
        <v>58009.77</v>
      </c>
      <c r="F47" s="18">
        <f>43009.77+15000</f>
        <v>58009.77</v>
      </c>
      <c r="G47" s="59">
        <f t="shared" si="0"/>
        <v>1</v>
      </c>
    </row>
    <row r="48" spans="1:7" ht="9" customHeight="1" hidden="1">
      <c r="A48" s="15" t="s">
        <v>73</v>
      </c>
      <c r="B48" s="11" t="s">
        <v>68</v>
      </c>
      <c r="C48" s="11" t="s">
        <v>165</v>
      </c>
      <c r="D48" s="11" t="s">
        <v>166</v>
      </c>
      <c r="E48" s="18">
        <v>40000</v>
      </c>
      <c r="F48" s="18">
        <v>0</v>
      </c>
      <c r="G48" s="59">
        <f t="shared" si="0"/>
        <v>0</v>
      </c>
    </row>
    <row r="49" spans="1:7" ht="9" customHeight="1" hidden="1">
      <c r="A49" s="15" t="s">
        <v>70</v>
      </c>
      <c r="B49" s="11" t="s">
        <v>68</v>
      </c>
      <c r="C49" s="11" t="s">
        <v>32</v>
      </c>
      <c r="D49" s="11" t="s">
        <v>21</v>
      </c>
      <c r="E49" s="18">
        <v>20300</v>
      </c>
      <c r="F49" s="18">
        <v>20300</v>
      </c>
      <c r="G49" s="59">
        <f t="shared" si="0"/>
        <v>1</v>
      </c>
    </row>
    <row r="50" spans="1:7" ht="14.25" customHeight="1">
      <c r="A50" s="15" t="s">
        <v>70</v>
      </c>
      <c r="B50" s="11" t="s">
        <v>68</v>
      </c>
      <c r="C50" s="11" t="s">
        <v>32</v>
      </c>
      <c r="D50" s="11" t="s">
        <v>11</v>
      </c>
      <c r="E50" s="18">
        <v>12000</v>
      </c>
      <c r="F50" s="18">
        <v>12000</v>
      </c>
      <c r="G50" s="59">
        <f t="shared" si="0"/>
        <v>1</v>
      </c>
    </row>
    <row r="51" spans="1:7" ht="10.5" customHeight="1">
      <c r="A51" s="15" t="s">
        <v>70</v>
      </c>
      <c r="B51" s="11" t="s">
        <v>68</v>
      </c>
      <c r="C51" s="11" t="s">
        <v>72</v>
      </c>
      <c r="D51" s="11" t="s">
        <v>28</v>
      </c>
      <c r="E51" s="18">
        <v>0</v>
      </c>
      <c r="F51" s="18">
        <v>0</v>
      </c>
      <c r="G51" s="59">
        <v>0</v>
      </c>
    </row>
    <row r="52" spans="1:7" ht="21.75" customHeight="1">
      <c r="A52" s="14" t="s">
        <v>0</v>
      </c>
      <c r="B52" s="4" t="s">
        <v>68</v>
      </c>
      <c r="C52" s="4" t="s">
        <v>51</v>
      </c>
      <c r="D52" s="4" t="s">
        <v>14</v>
      </c>
      <c r="E52" s="6">
        <f>E53</f>
        <v>6842437.96</v>
      </c>
      <c r="F52" s="6">
        <f>F53+F66+F54+F56</f>
        <v>3188704.2299999995</v>
      </c>
      <c r="G52" s="59">
        <f t="shared" si="0"/>
        <v>0.46601872733676925</v>
      </c>
    </row>
    <row r="53" spans="1:7" ht="21.75" customHeight="1">
      <c r="A53" s="16" t="s">
        <v>54</v>
      </c>
      <c r="B53" s="8" t="s">
        <v>68</v>
      </c>
      <c r="C53" s="8" t="s">
        <v>51</v>
      </c>
      <c r="D53" s="8" t="s">
        <v>14</v>
      </c>
      <c r="E53" s="9">
        <f>E58+E63+E64+E68+E65+E59+E60+E61+E62+E54+E56+E67+E69+E70+E71+E55+E57</f>
        <v>6842437.96</v>
      </c>
      <c r="F53" s="9">
        <f>F58+F63+F64+F65+F59+F60+F61+F62</f>
        <v>2308269.1399999997</v>
      </c>
      <c r="G53" s="59">
        <f t="shared" si="0"/>
        <v>0.337346009345476</v>
      </c>
    </row>
    <row r="54" spans="1:7" ht="21.75" customHeight="1">
      <c r="A54" s="17" t="s">
        <v>75</v>
      </c>
      <c r="B54" s="11" t="s">
        <v>68</v>
      </c>
      <c r="C54" s="11" t="s">
        <v>137</v>
      </c>
      <c r="D54" s="11" t="s">
        <v>5</v>
      </c>
      <c r="E54" s="18">
        <v>551215.835</v>
      </c>
      <c r="F54" s="18">
        <v>0</v>
      </c>
      <c r="G54" s="59">
        <f t="shared" si="0"/>
        <v>0</v>
      </c>
    </row>
    <row r="55" spans="1:7" ht="21.75" customHeight="1" hidden="1">
      <c r="A55" s="17"/>
      <c r="B55" s="11"/>
      <c r="C55" s="11"/>
      <c r="D55" s="11"/>
      <c r="E55" s="18"/>
      <c r="F55" s="18"/>
      <c r="G55" s="59">
        <v>0</v>
      </c>
    </row>
    <row r="56" spans="1:7" ht="21.75" customHeight="1">
      <c r="A56" s="17" t="s">
        <v>76</v>
      </c>
      <c r="B56" s="11" t="s">
        <v>68</v>
      </c>
      <c r="C56" s="11" t="s">
        <v>137</v>
      </c>
      <c r="D56" s="11" t="s">
        <v>36</v>
      </c>
      <c r="E56" s="18">
        <v>238491.665</v>
      </c>
      <c r="F56" s="18">
        <v>0</v>
      </c>
      <c r="G56" s="59">
        <f t="shared" si="0"/>
        <v>0</v>
      </c>
    </row>
    <row r="57" spans="1:7" ht="11.25" customHeight="1" hidden="1">
      <c r="A57" s="17"/>
      <c r="B57" s="11"/>
      <c r="C57" s="11"/>
      <c r="D57" s="11"/>
      <c r="E57" s="18"/>
      <c r="F57" s="18"/>
      <c r="G57" s="59" t="e">
        <f t="shared" si="0"/>
        <v>#DIV/0!</v>
      </c>
    </row>
    <row r="58" spans="1:7" ht="11.25" customHeight="1" hidden="1">
      <c r="A58" s="17" t="s">
        <v>75</v>
      </c>
      <c r="B58" s="11" t="s">
        <v>68</v>
      </c>
      <c r="C58" s="11" t="s">
        <v>35</v>
      </c>
      <c r="D58" s="11" t="s">
        <v>5</v>
      </c>
      <c r="E58" s="18">
        <v>2947465.86</v>
      </c>
      <c r="F58" s="18">
        <f>113860.72+400157.09+228054.46+284684.66+339853.93+568595.19</f>
        <v>1935206.0499999998</v>
      </c>
      <c r="G58" s="59">
        <f t="shared" si="0"/>
        <v>0.6565660611247928</v>
      </c>
    </row>
    <row r="59" spans="1:7" ht="11.25" customHeight="1" hidden="1">
      <c r="A59" s="17" t="s">
        <v>77</v>
      </c>
      <c r="B59" s="11" t="s">
        <v>68</v>
      </c>
      <c r="C59" s="11" t="s">
        <v>78</v>
      </c>
      <c r="D59" s="11" t="s">
        <v>5</v>
      </c>
      <c r="E59" s="18">
        <f>43597.16-43597.16</f>
        <v>0</v>
      </c>
      <c r="F59" s="18">
        <v>0</v>
      </c>
      <c r="G59" s="59" t="e">
        <f t="shared" si="0"/>
        <v>#DIV/0!</v>
      </c>
    </row>
    <row r="60" spans="1:7" ht="11.25" customHeight="1" hidden="1">
      <c r="A60" s="17" t="s">
        <v>77</v>
      </c>
      <c r="B60" s="11" t="s">
        <v>68</v>
      </c>
      <c r="C60" s="11" t="s">
        <v>78</v>
      </c>
      <c r="D60" s="11" t="s">
        <v>36</v>
      </c>
      <c r="E60" s="18">
        <f>18023.84-18023.84</f>
        <v>0</v>
      </c>
      <c r="F60" s="18">
        <v>0</v>
      </c>
      <c r="G60" s="59" t="e">
        <f t="shared" si="0"/>
        <v>#DIV/0!</v>
      </c>
    </row>
    <row r="61" spans="1:7" ht="21.75" customHeight="1">
      <c r="A61" s="17" t="s">
        <v>77</v>
      </c>
      <c r="B61" s="11" t="s">
        <v>68</v>
      </c>
      <c r="C61" s="11" t="s">
        <v>79</v>
      </c>
      <c r="D61" s="11" t="s">
        <v>5</v>
      </c>
      <c r="E61" s="18">
        <v>0</v>
      </c>
      <c r="F61" s="18">
        <v>0</v>
      </c>
      <c r="G61" s="59">
        <v>0</v>
      </c>
    </row>
    <row r="62" spans="1:7" ht="21.75" customHeight="1">
      <c r="A62" s="17" t="s">
        <v>77</v>
      </c>
      <c r="B62" s="11" t="s">
        <v>68</v>
      </c>
      <c r="C62" s="11" t="s">
        <v>79</v>
      </c>
      <c r="D62" s="11" t="s">
        <v>36</v>
      </c>
      <c r="E62" s="18">
        <v>0</v>
      </c>
      <c r="F62" s="18">
        <v>0</v>
      </c>
      <c r="G62" s="59">
        <v>0</v>
      </c>
    </row>
    <row r="63" spans="1:7" ht="11.25" customHeight="1">
      <c r="A63" s="17" t="s">
        <v>80</v>
      </c>
      <c r="B63" s="11" t="s">
        <v>68</v>
      </c>
      <c r="C63" s="11" t="s">
        <v>35</v>
      </c>
      <c r="D63" s="11" t="s">
        <v>10</v>
      </c>
      <c r="E63" s="18">
        <v>80000</v>
      </c>
      <c r="F63" s="18">
        <v>0</v>
      </c>
      <c r="G63" s="59">
        <v>0</v>
      </c>
    </row>
    <row r="64" spans="1:7" ht="21.75" customHeight="1">
      <c r="A64" s="17" t="s">
        <v>76</v>
      </c>
      <c r="B64" s="11" t="s">
        <v>68</v>
      </c>
      <c r="C64" s="11" t="s">
        <v>35</v>
      </c>
      <c r="D64" s="11" t="s">
        <v>36</v>
      </c>
      <c r="E64" s="18">
        <v>1275264.6</v>
      </c>
      <c r="F64" s="18">
        <f>182461.41+91577.71+99023.97</f>
        <v>373063.08999999997</v>
      </c>
      <c r="G64" s="59">
        <f t="shared" si="0"/>
        <v>0.2925377917649403</v>
      </c>
    </row>
    <row r="65" spans="1:7" ht="21.75" customHeight="1">
      <c r="A65" s="17" t="s">
        <v>81</v>
      </c>
      <c r="B65" s="11" t="s">
        <v>68</v>
      </c>
      <c r="C65" s="11" t="s">
        <v>82</v>
      </c>
      <c r="D65" s="11" t="s">
        <v>36</v>
      </c>
      <c r="E65" s="36">
        <v>0</v>
      </c>
      <c r="F65" s="18">
        <v>0</v>
      </c>
      <c r="G65" s="59">
        <v>0</v>
      </c>
    </row>
    <row r="66" spans="1:7" ht="21.75" customHeight="1">
      <c r="A66" s="16" t="s">
        <v>59</v>
      </c>
      <c r="B66" s="8" t="s">
        <v>68</v>
      </c>
      <c r="C66" s="8" t="s">
        <v>35</v>
      </c>
      <c r="D66" s="8" t="s">
        <v>14</v>
      </c>
      <c r="E66" s="9">
        <f>E67+E68+E70+E71+E69</f>
        <v>1750000</v>
      </c>
      <c r="F66" s="9">
        <f>F67+F68+F70+F71+F69</f>
        <v>880435.0899999999</v>
      </c>
      <c r="G66" s="59">
        <f t="shared" si="0"/>
        <v>0.5031057657142857</v>
      </c>
    </row>
    <row r="67" spans="1:7" ht="21.75" customHeight="1">
      <c r="A67" s="10" t="s">
        <v>60</v>
      </c>
      <c r="B67" s="11" t="s">
        <v>68</v>
      </c>
      <c r="C67" s="11" t="s">
        <v>35</v>
      </c>
      <c r="D67" s="11" t="s">
        <v>11</v>
      </c>
      <c r="E67" s="18">
        <v>150000</v>
      </c>
      <c r="F67" s="18">
        <f>44120.44+12000</f>
        <v>56120.44</v>
      </c>
      <c r="G67" s="59">
        <f t="shared" si="0"/>
        <v>0.37413626666666666</v>
      </c>
    </row>
    <row r="68" spans="1:7" ht="21.75" customHeight="1">
      <c r="A68" s="10" t="s">
        <v>20</v>
      </c>
      <c r="B68" s="11" t="s">
        <v>68</v>
      </c>
      <c r="C68" s="11" t="s">
        <v>35</v>
      </c>
      <c r="D68" s="11" t="s">
        <v>4</v>
      </c>
      <c r="E68" s="18">
        <v>1300000</v>
      </c>
      <c r="F68" s="18">
        <f>106645.02+143634.66+195375+85700+55482+205745.93</f>
        <v>792582.6099999999</v>
      </c>
      <c r="G68" s="59">
        <f t="shared" si="0"/>
        <v>0.6096789307692306</v>
      </c>
    </row>
    <row r="69" spans="1:7" ht="21.75" customHeight="1">
      <c r="A69" s="10" t="s">
        <v>65</v>
      </c>
      <c r="B69" s="11" t="s">
        <v>68</v>
      </c>
      <c r="C69" s="11" t="s">
        <v>35</v>
      </c>
      <c r="D69" s="11" t="s">
        <v>21</v>
      </c>
      <c r="E69" s="18">
        <v>100000</v>
      </c>
      <c r="F69" s="18">
        <v>1000</v>
      </c>
      <c r="G69" s="59">
        <f t="shared" si="0"/>
        <v>0.01</v>
      </c>
    </row>
    <row r="70" spans="1:7" ht="1.5" customHeight="1">
      <c r="A70" s="10" t="s">
        <v>65</v>
      </c>
      <c r="B70" s="11" t="s">
        <v>68</v>
      </c>
      <c r="C70" s="11" t="s">
        <v>35</v>
      </c>
      <c r="D70" s="11" t="s">
        <v>12</v>
      </c>
      <c r="E70" s="18">
        <v>100000</v>
      </c>
      <c r="F70" s="18">
        <v>0</v>
      </c>
      <c r="G70" s="59">
        <f t="shared" si="0"/>
        <v>0</v>
      </c>
    </row>
    <row r="71" spans="1:7" ht="21.75" customHeight="1">
      <c r="A71" s="10" t="s">
        <v>66</v>
      </c>
      <c r="B71" s="11" t="s">
        <v>68</v>
      </c>
      <c r="C71" s="11" t="s">
        <v>35</v>
      </c>
      <c r="D71" s="11" t="s">
        <v>28</v>
      </c>
      <c r="E71" s="18">
        <v>100000</v>
      </c>
      <c r="F71" s="18">
        <f>30000+732.04</f>
        <v>30732.04</v>
      </c>
      <c r="G71" s="59">
        <f t="shared" si="0"/>
        <v>0.3073204</v>
      </c>
    </row>
    <row r="72" spans="1:7" ht="21.75" customHeight="1" hidden="1">
      <c r="A72" s="12"/>
      <c r="B72" s="19"/>
      <c r="C72" s="19"/>
      <c r="D72" s="19"/>
      <c r="E72" s="20"/>
      <c r="F72" s="20"/>
      <c r="G72" s="59">
        <v>0</v>
      </c>
    </row>
    <row r="73" spans="1:7" ht="21.75" customHeight="1">
      <c r="A73" s="14" t="s">
        <v>83</v>
      </c>
      <c r="B73" s="4" t="s">
        <v>84</v>
      </c>
      <c r="C73" s="4" t="s">
        <v>51</v>
      </c>
      <c r="D73" s="4" t="s">
        <v>14</v>
      </c>
      <c r="E73" s="6">
        <f>E74</f>
        <v>384100</v>
      </c>
      <c r="F73" s="6">
        <f>F74</f>
        <v>166797.85</v>
      </c>
      <c r="G73" s="59">
        <f t="shared" si="0"/>
        <v>0.43425631346003646</v>
      </c>
    </row>
    <row r="74" spans="1:7" ht="21.75" customHeight="1">
      <c r="A74" s="14" t="s">
        <v>1</v>
      </c>
      <c r="B74" s="4" t="s">
        <v>84</v>
      </c>
      <c r="C74" s="4" t="s">
        <v>37</v>
      </c>
      <c r="D74" s="4" t="s">
        <v>14</v>
      </c>
      <c r="E74" s="6">
        <f>E75+E79</f>
        <v>384100</v>
      </c>
      <c r="F74" s="6">
        <f>F75+F79</f>
        <v>166797.85</v>
      </c>
      <c r="G74" s="59">
        <f t="shared" si="0"/>
        <v>0.43425631346003646</v>
      </c>
    </row>
    <row r="75" spans="1:7" ht="21.75" customHeight="1" hidden="1">
      <c r="A75" s="16" t="s">
        <v>54</v>
      </c>
      <c r="B75" s="8" t="s">
        <v>84</v>
      </c>
      <c r="C75" s="8" t="s">
        <v>37</v>
      </c>
      <c r="D75" s="8" t="s">
        <v>14</v>
      </c>
      <c r="E75" s="9">
        <f>E76+E77+E78</f>
        <v>380100</v>
      </c>
      <c r="F75" s="9">
        <f>F76+F77+F78</f>
        <v>162797.85</v>
      </c>
      <c r="G75" s="59">
        <f t="shared" si="0"/>
        <v>0.428302683504341</v>
      </c>
    </row>
    <row r="76" spans="1:7" ht="21.75" customHeight="1">
      <c r="A76" s="17" t="s">
        <v>75</v>
      </c>
      <c r="B76" s="11" t="s">
        <v>84</v>
      </c>
      <c r="C76" s="11" t="s">
        <v>37</v>
      </c>
      <c r="D76" s="21" t="s">
        <v>167</v>
      </c>
      <c r="E76" s="18">
        <v>320232</v>
      </c>
      <c r="F76" s="18">
        <f>34825.23+46825+23686+3469+35686</f>
        <v>144491.23</v>
      </c>
      <c r="G76" s="59">
        <f t="shared" si="0"/>
        <v>0.45120796797321944</v>
      </c>
    </row>
    <row r="77" spans="1:7" ht="21.75" customHeight="1">
      <c r="A77" s="10" t="s">
        <v>64</v>
      </c>
      <c r="B77" s="11" t="s">
        <v>84</v>
      </c>
      <c r="C77" s="11" t="s">
        <v>37</v>
      </c>
      <c r="D77" s="21" t="s">
        <v>168</v>
      </c>
      <c r="E77" s="18">
        <v>0</v>
      </c>
      <c r="F77" s="18">
        <v>0</v>
      </c>
      <c r="G77" s="59">
        <v>0</v>
      </c>
    </row>
    <row r="78" spans="1:7" ht="21.75" customHeight="1">
      <c r="A78" s="10" t="s">
        <v>56</v>
      </c>
      <c r="B78" s="11" t="s">
        <v>84</v>
      </c>
      <c r="C78" s="11" t="s">
        <v>37</v>
      </c>
      <c r="D78" s="21" t="s">
        <v>169</v>
      </c>
      <c r="E78" s="18">
        <f>63868-4000</f>
        <v>59868</v>
      </c>
      <c r="F78" s="18">
        <f>8059.18+8059.17+2188.27</f>
        <v>18306.62</v>
      </c>
      <c r="G78" s="59">
        <f aca="true" t="shared" si="1" ref="G78:G141">F78/E78*100%</f>
        <v>0.30578305605665795</v>
      </c>
    </row>
    <row r="79" spans="1:7" ht="0" customHeight="1" hidden="1">
      <c r="A79" s="16" t="s">
        <v>59</v>
      </c>
      <c r="B79" s="8" t="s">
        <v>84</v>
      </c>
      <c r="C79" s="8" t="s">
        <v>37</v>
      </c>
      <c r="D79" s="8" t="s">
        <v>14</v>
      </c>
      <c r="E79" s="9">
        <f>E80</f>
        <v>4000</v>
      </c>
      <c r="F79" s="9">
        <f>F80</f>
        <v>4000</v>
      </c>
      <c r="G79" s="59">
        <f t="shared" si="1"/>
        <v>1</v>
      </c>
    </row>
    <row r="80" spans="1:7" ht="21.75" customHeight="1">
      <c r="A80" s="10" t="s">
        <v>20</v>
      </c>
      <c r="B80" s="11" t="s">
        <v>84</v>
      </c>
      <c r="C80" s="11" t="s">
        <v>37</v>
      </c>
      <c r="D80" s="21" t="s">
        <v>170</v>
      </c>
      <c r="E80" s="18">
        <v>4000</v>
      </c>
      <c r="F80" s="18">
        <f>4000</f>
        <v>4000</v>
      </c>
      <c r="G80" s="59">
        <f t="shared" si="1"/>
        <v>1</v>
      </c>
    </row>
    <row r="81" spans="1:7" ht="21.75" customHeight="1" hidden="1">
      <c r="A81" s="12"/>
      <c r="B81" s="19"/>
      <c r="C81" s="19"/>
      <c r="D81" s="19"/>
      <c r="E81" s="20"/>
      <c r="F81" s="20"/>
      <c r="G81" s="59">
        <v>0</v>
      </c>
    </row>
    <row r="82" spans="1:7" ht="21.75" customHeight="1">
      <c r="A82" s="14" t="s">
        <v>15</v>
      </c>
      <c r="B82" s="4" t="s">
        <v>85</v>
      </c>
      <c r="C82" s="4" t="s">
        <v>51</v>
      </c>
      <c r="D82" s="4" t="s">
        <v>14</v>
      </c>
      <c r="E82" s="6">
        <f>E83</f>
        <v>162757.5</v>
      </c>
      <c r="F82" s="6">
        <f>F83</f>
        <v>162757.5</v>
      </c>
      <c r="G82" s="59">
        <f t="shared" si="1"/>
        <v>1</v>
      </c>
    </row>
    <row r="83" spans="1:7" ht="1.5" customHeight="1">
      <c r="A83" s="16" t="s">
        <v>59</v>
      </c>
      <c r="B83" s="8" t="s">
        <v>85</v>
      </c>
      <c r="C83" s="8" t="s">
        <v>38</v>
      </c>
      <c r="D83" s="8" t="s">
        <v>14</v>
      </c>
      <c r="E83" s="9">
        <f>E84</f>
        <v>162757.5</v>
      </c>
      <c r="F83" s="9">
        <f>F84</f>
        <v>162757.5</v>
      </c>
      <c r="G83" s="59">
        <f t="shared" si="1"/>
        <v>1</v>
      </c>
    </row>
    <row r="84" spans="1:7" ht="21.75" customHeight="1">
      <c r="A84" s="10" t="s">
        <v>61</v>
      </c>
      <c r="B84" s="11" t="s">
        <v>85</v>
      </c>
      <c r="C84" s="11" t="s">
        <v>38</v>
      </c>
      <c r="D84" s="11" t="s">
        <v>4</v>
      </c>
      <c r="E84" s="18">
        <f>150000+12757.5</f>
        <v>162757.5</v>
      </c>
      <c r="F84" s="18">
        <f>116260.93+46496.57</f>
        <v>162757.5</v>
      </c>
      <c r="G84" s="59">
        <f t="shared" si="1"/>
        <v>1</v>
      </c>
    </row>
    <row r="85" spans="1:7" ht="21.75" customHeight="1" hidden="1">
      <c r="A85" s="12"/>
      <c r="B85" s="13"/>
      <c r="C85" s="13"/>
      <c r="D85" s="13"/>
      <c r="E85" s="13"/>
      <c r="F85" s="13"/>
      <c r="G85" s="59">
        <v>0</v>
      </c>
    </row>
    <row r="86" spans="1:7" ht="21.75" customHeight="1">
      <c r="A86" s="14" t="s">
        <v>86</v>
      </c>
      <c r="B86" s="4" t="s">
        <v>87</v>
      </c>
      <c r="C86" s="4" t="s">
        <v>51</v>
      </c>
      <c r="D86" s="4" t="s">
        <v>14</v>
      </c>
      <c r="E86" s="6">
        <f>E87+E92</f>
        <v>1370000</v>
      </c>
      <c r="F86" s="6">
        <f>F87</f>
        <v>0</v>
      </c>
      <c r="G86" s="59">
        <f t="shared" si="1"/>
        <v>0</v>
      </c>
    </row>
    <row r="87" spans="1:7" ht="21.75" customHeight="1">
      <c r="A87" s="14" t="s">
        <v>88</v>
      </c>
      <c r="B87" s="4" t="s">
        <v>87</v>
      </c>
      <c r="C87" s="4" t="s">
        <v>39</v>
      </c>
      <c r="D87" s="4" t="s">
        <v>14</v>
      </c>
      <c r="E87" s="6">
        <f>E88</f>
        <v>1320000</v>
      </c>
      <c r="F87" s="6">
        <f>F88</f>
        <v>0</v>
      </c>
      <c r="G87" s="59">
        <f t="shared" si="1"/>
        <v>0</v>
      </c>
    </row>
    <row r="88" spans="1:7" ht="21.75" customHeight="1">
      <c r="A88" s="16" t="s">
        <v>59</v>
      </c>
      <c r="B88" s="8" t="s">
        <v>87</v>
      </c>
      <c r="C88" s="8" t="s">
        <v>39</v>
      </c>
      <c r="D88" s="8" t="s">
        <v>14</v>
      </c>
      <c r="E88" s="9">
        <f>E89+E90</f>
        <v>1320000</v>
      </c>
      <c r="F88" s="9">
        <f>F89+F90</f>
        <v>0</v>
      </c>
      <c r="G88" s="59">
        <f t="shared" si="1"/>
        <v>0</v>
      </c>
    </row>
    <row r="89" spans="1:7" ht="1.5" customHeight="1">
      <c r="A89" s="10" t="s">
        <v>89</v>
      </c>
      <c r="B89" s="11" t="s">
        <v>87</v>
      </c>
      <c r="C89" s="11" t="s">
        <v>39</v>
      </c>
      <c r="D89" s="11" t="s">
        <v>4</v>
      </c>
      <c r="E89" s="18">
        <v>1300000</v>
      </c>
      <c r="F89" s="18">
        <v>0</v>
      </c>
      <c r="G89" s="59">
        <f t="shared" si="1"/>
        <v>0</v>
      </c>
    </row>
    <row r="90" spans="1:7" ht="21.75" customHeight="1">
      <c r="A90" s="10" t="s">
        <v>90</v>
      </c>
      <c r="B90" s="11" t="s">
        <v>87</v>
      </c>
      <c r="C90" s="11" t="s">
        <v>39</v>
      </c>
      <c r="D90" s="11" t="s">
        <v>4</v>
      </c>
      <c r="E90" s="18">
        <v>20000</v>
      </c>
      <c r="F90" s="18">
        <v>0</v>
      </c>
      <c r="G90" s="59">
        <f t="shared" si="1"/>
        <v>0</v>
      </c>
    </row>
    <row r="91" spans="1:7" ht="21.75" customHeight="1" hidden="1">
      <c r="A91" s="12"/>
      <c r="B91" s="13"/>
      <c r="C91" s="13"/>
      <c r="D91" s="13"/>
      <c r="E91" s="13"/>
      <c r="F91" s="13"/>
      <c r="G91" s="59">
        <v>0</v>
      </c>
    </row>
    <row r="92" spans="1:7" ht="21.75" customHeight="1">
      <c r="A92" s="14" t="s">
        <v>91</v>
      </c>
      <c r="B92" s="4" t="s">
        <v>92</v>
      </c>
      <c r="C92" s="4" t="s">
        <v>51</v>
      </c>
      <c r="D92" s="4" t="s">
        <v>14</v>
      </c>
      <c r="E92" s="6">
        <f>E93</f>
        <v>50000</v>
      </c>
      <c r="F92" s="6">
        <f>F93</f>
        <v>0</v>
      </c>
      <c r="G92" s="59">
        <f t="shared" si="1"/>
        <v>0</v>
      </c>
    </row>
    <row r="93" spans="1:7" ht="21.75" customHeight="1">
      <c r="A93" s="14" t="s">
        <v>93</v>
      </c>
      <c r="B93" s="11" t="s">
        <v>92</v>
      </c>
      <c r="C93" s="11" t="s">
        <v>40</v>
      </c>
      <c r="D93" s="11" t="s">
        <v>14</v>
      </c>
      <c r="E93" s="18">
        <f>E94</f>
        <v>50000</v>
      </c>
      <c r="F93" s="18">
        <f>F94</f>
        <v>0</v>
      </c>
      <c r="G93" s="59">
        <f t="shared" si="1"/>
        <v>0</v>
      </c>
    </row>
    <row r="94" spans="1:7" ht="0.75" customHeight="1">
      <c r="A94" s="16" t="s">
        <v>59</v>
      </c>
      <c r="B94" s="8" t="s">
        <v>92</v>
      </c>
      <c r="C94" s="8" t="s">
        <v>40</v>
      </c>
      <c r="D94" s="8" t="s">
        <v>14</v>
      </c>
      <c r="E94" s="9">
        <f>E95</f>
        <v>50000</v>
      </c>
      <c r="F94" s="9">
        <f>F95</f>
        <v>0</v>
      </c>
      <c r="G94" s="59">
        <f t="shared" si="1"/>
        <v>0</v>
      </c>
    </row>
    <row r="95" spans="1:7" ht="21.75" customHeight="1">
      <c r="A95" s="10" t="s">
        <v>90</v>
      </c>
      <c r="B95" s="11" t="s">
        <v>92</v>
      </c>
      <c r="C95" s="11" t="s">
        <v>40</v>
      </c>
      <c r="D95" s="11" t="s">
        <v>4</v>
      </c>
      <c r="E95" s="18">
        <v>50000</v>
      </c>
      <c r="F95" s="18">
        <v>0</v>
      </c>
      <c r="G95" s="59">
        <f t="shared" si="1"/>
        <v>0</v>
      </c>
    </row>
    <row r="96" spans="1:7" ht="21.75" customHeight="1" hidden="1">
      <c r="A96" s="22"/>
      <c r="B96" s="23"/>
      <c r="C96" s="23"/>
      <c r="D96" s="23"/>
      <c r="E96" s="23"/>
      <c r="F96" s="23"/>
      <c r="G96" s="59">
        <v>0</v>
      </c>
    </row>
    <row r="97" spans="1:7" ht="21.75" customHeight="1" hidden="1">
      <c r="A97" s="14" t="s">
        <v>94</v>
      </c>
      <c r="B97" s="4" t="s">
        <v>95</v>
      </c>
      <c r="C97" s="4" t="s">
        <v>51</v>
      </c>
      <c r="D97" s="4" t="s">
        <v>14</v>
      </c>
      <c r="E97" s="6">
        <f>E98+E109+E115</f>
        <v>4748684.7</v>
      </c>
      <c r="F97" s="6">
        <f>F98+F109+F115</f>
        <v>798536.55</v>
      </c>
      <c r="G97" s="59">
        <f t="shared" si="1"/>
        <v>0.1681595221514707</v>
      </c>
    </row>
    <row r="98" spans="1:7" ht="18" customHeight="1" hidden="1">
      <c r="A98" s="16" t="s">
        <v>22</v>
      </c>
      <c r="B98" s="8" t="s">
        <v>96</v>
      </c>
      <c r="C98" s="8" t="s">
        <v>51</v>
      </c>
      <c r="D98" s="8" t="s">
        <v>14</v>
      </c>
      <c r="E98" s="9">
        <f>E99+E105</f>
        <v>3998684.7</v>
      </c>
      <c r="F98" s="9">
        <f>F99+F105</f>
        <v>348536.55</v>
      </c>
      <c r="G98" s="59">
        <f t="shared" si="1"/>
        <v>0.08716279880731781</v>
      </c>
    </row>
    <row r="99" spans="1:7" ht="18" customHeight="1" hidden="1">
      <c r="A99" s="16" t="s">
        <v>41</v>
      </c>
      <c r="B99" s="8" t="s">
        <v>96</v>
      </c>
      <c r="C99" s="8" t="s">
        <v>51</v>
      </c>
      <c r="D99" s="8" t="s">
        <v>14</v>
      </c>
      <c r="E99" s="9">
        <f>E103+E100</f>
        <v>1843008</v>
      </c>
      <c r="F99" s="9">
        <f>F103+F100</f>
        <v>348536.55</v>
      </c>
      <c r="G99" s="59">
        <f t="shared" si="1"/>
        <v>0.18911287959683298</v>
      </c>
    </row>
    <row r="100" spans="1:7" ht="24" customHeight="1">
      <c r="A100" s="14" t="s">
        <v>97</v>
      </c>
      <c r="B100" s="4" t="s">
        <v>96</v>
      </c>
      <c r="C100" s="4" t="s">
        <v>98</v>
      </c>
      <c r="D100" s="4" t="s">
        <v>14</v>
      </c>
      <c r="E100" s="6">
        <f>E102+E101</f>
        <v>1343008</v>
      </c>
      <c r="F100" s="6">
        <f>F102+F101</f>
        <v>60000</v>
      </c>
      <c r="G100" s="59">
        <f t="shared" si="1"/>
        <v>0.04467583216183373</v>
      </c>
    </row>
    <row r="101" spans="1:7" ht="21.75" customHeight="1">
      <c r="A101" s="17" t="s">
        <v>171</v>
      </c>
      <c r="B101" s="11" t="s">
        <v>96</v>
      </c>
      <c r="C101" s="11" t="s">
        <v>172</v>
      </c>
      <c r="D101" s="11" t="s">
        <v>4</v>
      </c>
      <c r="E101" s="18">
        <v>1143008</v>
      </c>
      <c r="F101" s="18">
        <v>0</v>
      </c>
      <c r="G101" s="59">
        <f t="shared" si="1"/>
        <v>0</v>
      </c>
    </row>
    <row r="102" spans="1:7" ht="21.75" customHeight="1" hidden="1">
      <c r="A102" s="10" t="s">
        <v>89</v>
      </c>
      <c r="B102" s="11" t="s">
        <v>96</v>
      </c>
      <c r="C102" s="11" t="s">
        <v>98</v>
      </c>
      <c r="D102" s="11" t="s">
        <v>4</v>
      </c>
      <c r="E102" s="18">
        <v>200000</v>
      </c>
      <c r="F102" s="18">
        <v>60000</v>
      </c>
      <c r="G102" s="59">
        <f t="shared" si="1"/>
        <v>0.3</v>
      </c>
    </row>
    <row r="103" spans="1:7" ht="21.75" customHeight="1">
      <c r="A103" s="14" t="s">
        <v>99</v>
      </c>
      <c r="B103" s="4" t="s">
        <v>96</v>
      </c>
      <c r="C103" s="4" t="s">
        <v>29</v>
      </c>
      <c r="D103" s="4" t="s">
        <v>14</v>
      </c>
      <c r="E103" s="6">
        <f>E104</f>
        <v>500000</v>
      </c>
      <c r="F103" s="6">
        <f>F104</f>
        <v>288536.55</v>
      </c>
      <c r="G103" s="59">
        <f t="shared" si="1"/>
        <v>0.5770731</v>
      </c>
    </row>
    <row r="104" spans="1:7" ht="21.75" customHeight="1" hidden="1">
      <c r="A104" s="10" t="s">
        <v>89</v>
      </c>
      <c r="B104" s="11" t="s">
        <v>96</v>
      </c>
      <c r="C104" s="11" t="s">
        <v>29</v>
      </c>
      <c r="D104" s="11" t="s">
        <v>4</v>
      </c>
      <c r="E104" s="18">
        <v>500000</v>
      </c>
      <c r="F104" s="18">
        <v>288536.55</v>
      </c>
      <c r="G104" s="59">
        <f t="shared" si="1"/>
        <v>0.5770731</v>
      </c>
    </row>
    <row r="105" spans="1:7" ht="21.75" customHeight="1">
      <c r="A105" s="3" t="s">
        <v>173</v>
      </c>
      <c r="B105" s="4" t="s">
        <v>96</v>
      </c>
      <c r="C105" s="4" t="s">
        <v>174</v>
      </c>
      <c r="D105" s="4" t="s">
        <v>4</v>
      </c>
      <c r="E105" s="6">
        <f>E106+E107</f>
        <v>2155676.7</v>
      </c>
      <c r="F105" s="18">
        <v>0</v>
      </c>
      <c r="G105" s="59">
        <f t="shared" si="1"/>
        <v>0</v>
      </c>
    </row>
    <row r="106" spans="1:7" ht="21.75" customHeight="1">
      <c r="A106" s="10" t="s">
        <v>175</v>
      </c>
      <c r="B106" s="11" t="s">
        <v>96</v>
      </c>
      <c r="C106" s="11" t="s">
        <v>176</v>
      </c>
      <c r="D106" s="21" t="s">
        <v>177</v>
      </c>
      <c r="E106" s="18">
        <v>1940100</v>
      </c>
      <c r="F106" s="18">
        <v>0</v>
      </c>
      <c r="G106" s="59">
        <f t="shared" si="1"/>
        <v>0</v>
      </c>
    </row>
    <row r="107" spans="1:7" ht="21.75" customHeight="1" hidden="1">
      <c r="A107" s="10" t="s">
        <v>178</v>
      </c>
      <c r="B107" s="11" t="s">
        <v>96</v>
      </c>
      <c r="C107" s="11" t="s">
        <v>176</v>
      </c>
      <c r="D107" s="21" t="s">
        <v>179</v>
      </c>
      <c r="E107" s="18">
        <v>215576.7</v>
      </c>
      <c r="F107" s="18">
        <v>0</v>
      </c>
      <c r="G107" s="59">
        <f t="shared" si="1"/>
        <v>0</v>
      </c>
    </row>
    <row r="108" spans="1:7" ht="21.75" customHeight="1" hidden="1">
      <c r="A108" s="12"/>
      <c r="B108" s="13"/>
      <c r="C108" s="13"/>
      <c r="D108" s="13"/>
      <c r="E108" s="13"/>
      <c r="F108" s="13"/>
      <c r="G108" s="59" t="e">
        <f t="shared" si="1"/>
        <v>#DIV/0!</v>
      </c>
    </row>
    <row r="109" spans="1:7" ht="21.75" customHeight="1">
      <c r="A109" s="16" t="s">
        <v>9</v>
      </c>
      <c r="B109" s="8" t="s">
        <v>100</v>
      </c>
      <c r="C109" s="8" t="s">
        <v>51</v>
      </c>
      <c r="D109" s="8" t="s">
        <v>14</v>
      </c>
      <c r="E109" s="9">
        <f>E110+E113</f>
        <v>250000</v>
      </c>
      <c r="F109" s="9">
        <f>F110+F113</f>
        <v>230000</v>
      </c>
      <c r="G109" s="59">
        <f t="shared" si="1"/>
        <v>0.92</v>
      </c>
    </row>
    <row r="110" spans="1:7" ht="21.75" customHeight="1" hidden="1">
      <c r="A110" s="14" t="s">
        <v>54</v>
      </c>
      <c r="B110" s="4" t="s">
        <v>100</v>
      </c>
      <c r="C110" s="4" t="s">
        <v>51</v>
      </c>
      <c r="D110" s="4" t="s">
        <v>14</v>
      </c>
      <c r="E110" s="6">
        <f>E111</f>
        <v>250000</v>
      </c>
      <c r="F110" s="6">
        <f>F111</f>
        <v>230000</v>
      </c>
      <c r="G110" s="59">
        <f t="shared" si="1"/>
        <v>0.92</v>
      </c>
    </row>
    <row r="111" spans="1:7" ht="21.75" customHeight="1" hidden="1">
      <c r="A111" s="14" t="s">
        <v>101</v>
      </c>
      <c r="B111" s="4" t="s">
        <v>100</v>
      </c>
      <c r="C111" s="4" t="s">
        <v>30</v>
      </c>
      <c r="D111" s="4" t="s">
        <v>14</v>
      </c>
      <c r="E111" s="6">
        <f>E112</f>
        <v>250000</v>
      </c>
      <c r="F111" s="6">
        <f>F112</f>
        <v>230000</v>
      </c>
      <c r="G111" s="59">
        <f t="shared" si="1"/>
        <v>0.92</v>
      </c>
    </row>
    <row r="112" spans="1:7" ht="21.75" customHeight="1" hidden="1">
      <c r="A112" s="10" t="s">
        <v>90</v>
      </c>
      <c r="B112" s="11" t="s">
        <v>100</v>
      </c>
      <c r="C112" s="11" t="s">
        <v>30</v>
      </c>
      <c r="D112" s="11" t="s">
        <v>4</v>
      </c>
      <c r="E112" s="18">
        <v>250000</v>
      </c>
      <c r="F112" s="18">
        <f>30000+200000</f>
        <v>230000</v>
      </c>
      <c r="G112" s="59">
        <f t="shared" si="1"/>
        <v>0.92</v>
      </c>
    </row>
    <row r="113" spans="1:7" ht="21.75" customHeight="1">
      <c r="A113" s="10" t="s">
        <v>138</v>
      </c>
      <c r="B113" s="11" t="s">
        <v>100</v>
      </c>
      <c r="C113" s="11" t="s">
        <v>139</v>
      </c>
      <c r="D113" s="11" t="s">
        <v>4</v>
      </c>
      <c r="E113" s="18">
        <v>0</v>
      </c>
      <c r="F113" s="18">
        <v>0</v>
      </c>
      <c r="G113" s="59">
        <v>0</v>
      </c>
    </row>
    <row r="114" spans="1:7" ht="21.75" customHeight="1" hidden="1">
      <c r="A114" s="12"/>
      <c r="B114" s="13"/>
      <c r="C114" s="13"/>
      <c r="D114" s="13"/>
      <c r="E114" s="13"/>
      <c r="F114" s="13"/>
      <c r="G114" s="59" t="e">
        <f t="shared" si="1"/>
        <v>#DIV/0!</v>
      </c>
    </row>
    <row r="115" spans="1:7" ht="21.75" customHeight="1">
      <c r="A115" s="14" t="s">
        <v>2</v>
      </c>
      <c r="B115" s="4" t="s">
        <v>102</v>
      </c>
      <c r="C115" s="4" t="s">
        <v>51</v>
      </c>
      <c r="D115" s="4" t="s">
        <v>14</v>
      </c>
      <c r="E115" s="6">
        <f>E116</f>
        <v>500000</v>
      </c>
      <c r="F115" s="6">
        <f>F116</f>
        <v>220000</v>
      </c>
      <c r="G115" s="59">
        <f t="shared" si="1"/>
        <v>0.44</v>
      </c>
    </row>
    <row r="116" spans="1:7" ht="21.75" customHeight="1">
      <c r="A116" s="16" t="s">
        <v>54</v>
      </c>
      <c r="B116" s="8" t="s">
        <v>102</v>
      </c>
      <c r="C116" s="8" t="s">
        <v>51</v>
      </c>
      <c r="D116" s="8" t="s">
        <v>14</v>
      </c>
      <c r="E116" s="9">
        <f>E117+E119</f>
        <v>500000</v>
      </c>
      <c r="F116" s="9">
        <f>F117</f>
        <v>220000</v>
      </c>
      <c r="G116" s="59">
        <f t="shared" si="1"/>
        <v>0.44</v>
      </c>
    </row>
    <row r="117" spans="1:7" ht="21.75" customHeight="1">
      <c r="A117" s="16" t="s">
        <v>103</v>
      </c>
      <c r="B117" s="8" t="s">
        <v>102</v>
      </c>
      <c r="C117" s="8" t="s">
        <v>31</v>
      </c>
      <c r="D117" s="8" t="s">
        <v>4</v>
      </c>
      <c r="E117" s="9">
        <f>E118</f>
        <v>0</v>
      </c>
      <c r="F117" s="9">
        <f>F118+F119</f>
        <v>220000</v>
      </c>
      <c r="G117" s="59">
        <v>0</v>
      </c>
    </row>
    <row r="118" spans="1:7" ht="21.75" customHeight="1" hidden="1">
      <c r="A118" s="10" t="s">
        <v>104</v>
      </c>
      <c r="B118" s="11" t="s">
        <v>102</v>
      </c>
      <c r="C118" s="11" t="s">
        <v>31</v>
      </c>
      <c r="D118" s="11" t="s">
        <v>4</v>
      </c>
      <c r="E118" s="18">
        <v>0</v>
      </c>
      <c r="F118" s="18">
        <v>0</v>
      </c>
      <c r="G118" s="59" t="e">
        <f t="shared" si="1"/>
        <v>#DIV/0!</v>
      </c>
    </row>
    <row r="119" spans="1:7" ht="21.75" customHeight="1">
      <c r="A119" s="10" t="s">
        <v>140</v>
      </c>
      <c r="B119" s="11" t="s">
        <v>102</v>
      </c>
      <c r="C119" s="11" t="s">
        <v>31</v>
      </c>
      <c r="D119" s="11" t="s">
        <v>4</v>
      </c>
      <c r="E119" s="18">
        <v>500000</v>
      </c>
      <c r="F119" s="18">
        <f>158000+62000</f>
        <v>220000</v>
      </c>
      <c r="G119" s="59">
        <f t="shared" si="1"/>
        <v>0.44</v>
      </c>
    </row>
    <row r="120" spans="1:7" ht="21.75" customHeight="1" hidden="1">
      <c r="A120" s="12"/>
      <c r="B120" s="13"/>
      <c r="C120" s="13"/>
      <c r="D120" s="13"/>
      <c r="E120" s="13"/>
      <c r="F120" s="13"/>
      <c r="G120" s="59" t="e">
        <f t="shared" si="1"/>
        <v>#DIV/0!</v>
      </c>
    </row>
    <row r="121" spans="1:7" ht="21.75" customHeight="1">
      <c r="A121" s="14" t="s">
        <v>105</v>
      </c>
      <c r="B121" s="24" t="s">
        <v>106</v>
      </c>
      <c r="C121" s="24" t="s">
        <v>51</v>
      </c>
      <c r="D121" s="24" t="s">
        <v>14</v>
      </c>
      <c r="E121" s="25">
        <f>E122</f>
        <v>52811.4</v>
      </c>
      <c r="F121" s="25">
        <f>F122</f>
        <v>0</v>
      </c>
      <c r="G121" s="59">
        <v>0</v>
      </c>
    </row>
    <row r="122" spans="1:7" ht="21.75" customHeight="1">
      <c r="A122" s="16" t="s">
        <v>107</v>
      </c>
      <c r="B122" s="26" t="s">
        <v>106</v>
      </c>
      <c r="C122" s="26" t="s">
        <v>51</v>
      </c>
      <c r="D122" s="26" t="s">
        <v>14</v>
      </c>
      <c r="E122" s="27">
        <f>E124+E123+E125</f>
        <v>52811.4</v>
      </c>
      <c r="F122" s="27">
        <f>F124+F123+F125</f>
        <v>0</v>
      </c>
      <c r="G122" s="59">
        <f t="shared" si="1"/>
        <v>0</v>
      </c>
    </row>
    <row r="123" spans="1:7" ht="21.75" customHeight="1">
      <c r="A123" s="28" t="s">
        <v>89</v>
      </c>
      <c r="B123" s="21" t="s">
        <v>106</v>
      </c>
      <c r="C123" s="21" t="s">
        <v>180</v>
      </c>
      <c r="D123" s="21" t="s">
        <v>4</v>
      </c>
      <c r="E123" s="37">
        <v>30000</v>
      </c>
      <c r="F123" s="29">
        <v>0</v>
      </c>
      <c r="G123" s="59">
        <f t="shared" si="1"/>
        <v>0</v>
      </c>
    </row>
    <row r="124" spans="1:7" ht="21.75" customHeight="1">
      <c r="A124" s="28" t="s">
        <v>181</v>
      </c>
      <c r="B124" s="30" t="s">
        <v>106</v>
      </c>
      <c r="C124" s="30" t="s">
        <v>182</v>
      </c>
      <c r="D124" s="30" t="s">
        <v>183</v>
      </c>
      <c r="E124" s="29">
        <v>3800</v>
      </c>
      <c r="F124" s="29" t="s">
        <v>108</v>
      </c>
      <c r="G124" s="59">
        <f t="shared" si="1"/>
        <v>0</v>
      </c>
    </row>
    <row r="125" spans="1:7" ht="21.75" customHeight="1">
      <c r="A125" s="10" t="s">
        <v>184</v>
      </c>
      <c r="B125" s="21" t="s">
        <v>106</v>
      </c>
      <c r="C125" s="21" t="s">
        <v>185</v>
      </c>
      <c r="D125" s="21" t="s">
        <v>186</v>
      </c>
      <c r="E125" s="37">
        <v>19011.4</v>
      </c>
      <c r="F125" s="37">
        <v>0</v>
      </c>
      <c r="G125" s="59">
        <f t="shared" si="1"/>
        <v>0</v>
      </c>
    </row>
    <row r="126" spans="1:7" ht="21.75" customHeight="1" hidden="1">
      <c r="A126" s="12"/>
      <c r="B126" s="13"/>
      <c r="C126" s="13"/>
      <c r="D126" s="13"/>
      <c r="E126" s="13"/>
      <c r="F126" s="13"/>
      <c r="G126" s="59" t="e">
        <f t="shared" si="1"/>
        <v>#DIV/0!</v>
      </c>
    </row>
    <row r="127" spans="1:7" ht="21.75" customHeight="1">
      <c r="A127" s="31" t="s">
        <v>109</v>
      </c>
      <c r="B127" s="32" t="s">
        <v>110</v>
      </c>
      <c r="C127" s="32" t="s">
        <v>51</v>
      </c>
      <c r="D127" s="32" t="s">
        <v>14</v>
      </c>
      <c r="E127" s="33">
        <f>E128+E150</f>
        <v>11592623.254</v>
      </c>
      <c r="F127" s="33">
        <f>F128+F150</f>
        <v>2284468.653</v>
      </c>
      <c r="G127" s="59">
        <f t="shared" si="1"/>
        <v>0.1970622699406496</v>
      </c>
    </row>
    <row r="128" spans="1:7" ht="21.75" customHeight="1">
      <c r="A128" s="14" t="s">
        <v>111</v>
      </c>
      <c r="B128" s="4" t="s">
        <v>110</v>
      </c>
      <c r="C128" s="4" t="s">
        <v>51</v>
      </c>
      <c r="D128" s="4" t="s">
        <v>14</v>
      </c>
      <c r="E128" s="6">
        <f>E129+E130+E132+E134+E135+E138+E139+E140+E142+E143+E144+E145+E146+E148+E149+E131+E133+E136+E137</f>
        <v>3731938.7469999995</v>
      </c>
      <c r="F128" s="6">
        <f>F129+F130+F132+F134+F135+F138+F139+F140+F142+F143+F144+F145+F146+F148+F149</f>
        <v>2005191.8</v>
      </c>
      <c r="G128" s="59">
        <f t="shared" si="1"/>
        <v>0.537305656908736</v>
      </c>
    </row>
    <row r="129" spans="1:7" ht="21.75" customHeight="1">
      <c r="A129" s="17" t="s">
        <v>141</v>
      </c>
      <c r="B129" s="11" t="s">
        <v>115</v>
      </c>
      <c r="C129" s="11" t="s">
        <v>142</v>
      </c>
      <c r="D129" s="11" t="s">
        <v>4</v>
      </c>
      <c r="E129" s="18">
        <v>0</v>
      </c>
      <c r="F129" s="18">
        <v>0</v>
      </c>
      <c r="G129" s="59">
        <v>0</v>
      </c>
    </row>
    <row r="130" spans="1:7" ht="21.75" customHeight="1">
      <c r="A130" s="17" t="s">
        <v>143</v>
      </c>
      <c r="B130" s="11" t="s">
        <v>110</v>
      </c>
      <c r="C130" s="11" t="s">
        <v>144</v>
      </c>
      <c r="D130" s="11" t="s">
        <v>5</v>
      </c>
      <c r="E130" s="18">
        <v>275607.917</v>
      </c>
      <c r="F130" s="18">
        <f>37154.6+43260.33+78327.26+48327.26+48986.9</f>
        <v>256056.35</v>
      </c>
      <c r="G130" s="59">
        <f t="shared" si="1"/>
        <v>0.9290602127369222</v>
      </c>
    </row>
    <row r="131" spans="1:7" ht="21.75" customHeight="1" hidden="1">
      <c r="A131" s="17"/>
      <c r="B131" s="11"/>
      <c r="C131" s="11"/>
      <c r="D131" s="11"/>
      <c r="E131" s="18"/>
      <c r="F131" s="18"/>
      <c r="G131" s="59" t="e">
        <f t="shared" si="1"/>
        <v>#DIV/0!</v>
      </c>
    </row>
    <row r="132" spans="1:7" ht="21.75" customHeight="1">
      <c r="A132" s="17" t="s">
        <v>76</v>
      </c>
      <c r="B132" s="11" t="s">
        <v>110</v>
      </c>
      <c r="C132" s="11" t="s">
        <v>144</v>
      </c>
      <c r="D132" s="11" t="s">
        <v>36</v>
      </c>
      <c r="E132" s="18">
        <v>119245.83</v>
      </c>
      <c r="F132" s="18">
        <f>10792.82+12636.75+23654.82+14594.83+14794.04</f>
        <v>76473.26000000001</v>
      </c>
      <c r="G132" s="59">
        <f t="shared" si="1"/>
        <v>0.6413076247613858</v>
      </c>
    </row>
    <row r="133" spans="1:7" ht="21.75" customHeight="1" hidden="1">
      <c r="A133" s="17"/>
      <c r="B133" s="11"/>
      <c r="C133" s="11"/>
      <c r="D133" s="11"/>
      <c r="E133" s="18"/>
      <c r="F133" s="18"/>
      <c r="G133" s="59" t="e">
        <f t="shared" si="1"/>
        <v>#DIV/0!</v>
      </c>
    </row>
    <row r="134" spans="1:7" ht="21.75" customHeight="1">
      <c r="A134" s="17" t="s">
        <v>75</v>
      </c>
      <c r="B134" s="11" t="s">
        <v>110</v>
      </c>
      <c r="C134" s="11" t="s">
        <v>145</v>
      </c>
      <c r="D134" s="21" t="s">
        <v>187</v>
      </c>
      <c r="E134" s="18">
        <v>556096.6</v>
      </c>
      <c r="F134" s="18">
        <f>189725.59+49998.5</f>
        <v>239724.09</v>
      </c>
      <c r="G134" s="59">
        <f t="shared" si="1"/>
        <v>0.4310835383636584</v>
      </c>
    </row>
    <row r="135" spans="1:7" ht="21.75" customHeight="1">
      <c r="A135" s="17" t="s">
        <v>76</v>
      </c>
      <c r="B135" s="11" t="s">
        <v>110</v>
      </c>
      <c r="C135" s="11" t="s">
        <v>145</v>
      </c>
      <c r="D135" s="21" t="s">
        <v>188</v>
      </c>
      <c r="E135" s="18">
        <v>240603.4</v>
      </c>
      <c r="F135" s="18">
        <f>56565.75+15093.51</f>
        <v>71659.26</v>
      </c>
      <c r="G135" s="59">
        <v>0</v>
      </c>
    </row>
    <row r="136" spans="1:7" ht="21.75" customHeight="1">
      <c r="A136" s="17" t="s">
        <v>75</v>
      </c>
      <c r="B136" s="11" t="s">
        <v>110</v>
      </c>
      <c r="C136" s="11" t="s">
        <v>145</v>
      </c>
      <c r="D136" s="21" t="s">
        <v>189</v>
      </c>
      <c r="E136" s="18">
        <v>17195.23</v>
      </c>
      <c r="F136" s="18">
        <v>0</v>
      </c>
      <c r="G136" s="59">
        <f t="shared" si="1"/>
        <v>0</v>
      </c>
    </row>
    <row r="137" spans="1:7" ht="21.75" customHeight="1">
      <c r="A137" s="17" t="s">
        <v>76</v>
      </c>
      <c r="B137" s="11" t="s">
        <v>110</v>
      </c>
      <c r="C137" s="11" t="s">
        <v>145</v>
      </c>
      <c r="D137" s="21" t="s">
        <v>190</v>
      </c>
      <c r="E137" s="18">
        <v>7439.77</v>
      </c>
      <c r="F137" s="18">
        <v>0</v>
      </c>
      <c r="G137" s="59">
        <v>0</v>
      </c>
    </row>
    <row r="138" spans="1:7" ht="18" customHeight="1">
      <c r="A138" s="17" t="s">
        <v>75</v>
      </c>
      <c r="B138" s="11" t="s">
        <v>110</v>
      </c>
      <c r="C138" s="11" t="s">
        <v>42</v>
      </c>
      <c r="D138" s="11" t="s">
        <v>5</v>
      </c>
      <c r="E138" s="18">
        <v>1000000</v>
      </c>
      <c r="F138" s="18">
        <f>153756.49+43729.4+102442.36+50077.4+70415.4</f>
        <v>420421.05000000005</v>
      </c>
      <c r="G138" s="59">
        <v>0</v>
      </c>
    </row>
    <row r="139" spans="1:7" ht="18" customHeight="1">
      <c r="A139" s="17" t="s">
        <v>80</v>
      </c>
      <c r="B139" s="11" t="s">
        <v>110</v>
      </c>
      <c r="C139" s="11" t="s">
        <v>42</v>
      </c>
      <c r="D139" s="11" t="s">
        <v>10</v>
      </c>
      <c r="E139" s="18">
        <v>20000</v>
      </c>
      <c r="F139" s="18">
        <v>0</v>
      </c>
      <c r="G139" s="59">
        <v>0</v>
      </c>
    </row>
    <row r="140" spans="1:7" ht="21.75" customHeight="1">
      <c r="A140" s="17" t="s">
        <v>76</v>
      </c>
      <c r="B140" s="11" t="s">
        <v>110</v>
      </c>
      <c r="C140" s="11" t="s">
        <v>42</v>
      </c>
      <c r="D140" s="11" t="s">
        <v>36</v>
      </c>
      <c r="E140" s="18">
        <v>302000</v>
      </c>
      <c r="F140" s="18">
        <f>45226.46+13206.27+30937.59+15123.37+21265.46</f>
        <v>125759.15</v>
      </c>
      <c r="G140" s="59">
        <f t="shared" si="1"/>
        <v>0.4164210264900662</v>
      </c>
    </row>
    <row r="141" spans="1:7" ht="21.75" customHeight="1">
      <c r="A141" s="16" t="s">
        <v>59</v>
      </c>
      <c r="B141" s="8" t="s">
        <v>110</v>
      </c>
      <c r="C141" s="8" t="s">
        <v>42</v>
      </c>
      <c r="D141" s="8" t="s">
        <v>14</v>
      </c>
      <c r="E141" s="9">
        <f>E142+E143+E144+E145+E146</f>
        <v>1172780</v>
      </c>
      <c r="F141" s="9">
        <f>F142+F143+F144+F145+F146</f>
        <v>794128.64</v>
      </c>
      <c r="G141" s="59">
        <f t="shared" si="1"/>
        <v>0.6771335118266001</v>
      </c>
    </row>
    <row r="142" spans="1:7" ht="21.75" customHeight="1">
      <c r="A142" s="10" t="s">
        <v>113</v>
      </c>
      <c r="B142" s="11" t="s">
        <v>110</v>
      </c>
      <c r="C142" s="11" t="s">
        <v>42</v>
      </c>
      <c r="D142" s="11" t="s">
        <v>11</v>
      </c>
      <c r="E142" s="18">
        <f>33500+40472</f>
        <v>73972</v>
      </c>
      <c r="F142" s="18">
        <f>1800+6500+4800+1000+59872</f>
        <v>73972</v>
      </c>
      <c r="G142" s="59">
        <f aca="true" t="shared" si="2" ref="G142:G189">F142/E142*100%</f>
        <v>1</v>
      </c>
    </row>
    <row r="143" spans="1:7" ht="21.75" customHeight="1">
      <c r="A143" s="10" t="s">
        <v>104</v>
      </c>
      <c r="B143" s="11" t="s">
        <v>110</v>
      </c>
      <c r="C143" s="11" t="s">
        <v>42</v>
      </c>
      <c r="D143" s="11" t="s">
        <v>4</v>
      </c>
      <c r="E143" s="18">
        <f>1144000-4725.49-173.35-9720-40472</f>
        <v>1088909.16</v>
      </c>
      <c r="F143" s="18">
        <f>129207.06+268786.57+152719.27+100910.3+61634.6</f>
        <v>713257.8</v>
      </c>
      <c r="G143" s="59">
        <f t="shared" si="2"/>
        <v>0.6550204793942592</v>
      </c>
    </row>
    <row r="144" spans="1:7" ht="21.75" customHeight="1">
      <c r="A144" s="10" t="s">
        <v>114</v>
      </c>
      <c r="B144" s="11" t="s">
        <v>110</v>
      </c>
      <c r="C144" s="11" t="s">
        <v>42</v>
      </c>
      <c r="D144" s="11" t="s">
        <v>6</v>
      </c>
      <c r="E144" s="18">
        <v>3000</v>
      </c>
      <c r="F144" s="18">
        <v>0</v>
      </c>
      <c r="G144" s="59">
        <f t="shared" si="2"/>
        <v>0</v>
      </c>
    </row>
    <row r="145" spans="1:7" ht="21.75" customHeight="1">
      <c r="A145" s="10" t="s">
        <v>65</v>
      </c>
      <c r="B145" s="11" t="s">
        <v>110</v>
      </c>
      <c r="C145" s="11" t="s">
        <v>42</v>
      </c>
      <c r="D145" s="11" t="s">
        <v>12</v>
      </c>
      <c r="E145" s="18">
        <v>0</v>
      </c>
      <c r="F145" s="18">
        <v>0</v>
      </c>
      <c r="G145" s="59">
        <v>0</v>
      </c>
    </row>
    <row r="146" spans="1:7" ht="21.75" customHeight="1">
      <c r="A146" s="10" t="s">
        <v>66</v>
      </c>
      <c r="B146" s="11" t="s">
        <v>110</v>
      </c>
      <c r="C146" s="11" t="s">
        <v>42</v>
      </c>
      <c r="D146" s="11" t="s">
        <v>28</v>
      </c>
      <c r="E146" s="18">
        <f>2000+4725.49+173.35</f>
        <v>6898.84</v>
      </c>
      <c r="F146" s="18">
        <f>6725.49+173.35</f>
        <v>6898.84</v>
      </c>
      <c r="G146" s="59">
        <f t="shared" si="2"/>
        <v>1</v>
      </c>
    </row>
    <row r="147" spans="1:7" ht="21.75" customHeight="1">
      <c r="A147" s="16" t="s">
        <v>59</v>
      </c>
      <c r="B147" s="8" t="s">
        <v>110</v>
      </c>
      <c r="C147" s="8" t="s">
        <v>112</v>
      </c>
      <c r="D147" s="8" t="s">
        <v>14</v>
      </c>
      <c r="E147" s="9">
        <f>E148+E149</f>
        <v>20970</v>
      </c>
      <c r="F147" s="9">
        <f>F148+F149</f>
        <v>20970</v>
      </c>
      <c r="G147" s="59">
        <f t="shared" si="2"/>
        <v>1</v>
      </c>
    </row>
    <row r="148" spans="1:7" ht="21.75" customHeight="1">
      <c r="A148" s="10" t="s">
        <v>61</v>
      </c>
      <c r="B148" s="11" t="s">
        <v>110</v>
      </c>
      <c r="C148" s="11" t="s">
        <v>112</v>
      </c>
      <c r="D148" s="11" t="s">
        <v>4</v>
      </c>
      <c r="E148" s="18">
        <v>0</v>
      </c>
      <c r="F148" s="18">
        <v>0</v>
      </c>
      <c r="G148" s="59">
        <v>0</v>
      </c>
    </row>
    <row r="149" spans="1:7" ht="21.75" customHeight="1">
      <c r="A149" s="10" t="s">
        <v>61</v>
      </c>
      <c r="B149" s="11" t="s">
        <v>110</v>
      </c>
      <c r="C149" s="11" t="s">
        <v>116</v>
      </c>
      <c r="D149" s="11" t="s">
        <v>4</v>
      </c>
      <c r="E149" s="18">
        <f>9720+11250</f>
        <v>20970</v>
      </c>
      <c r="F149" s="18">
        <f>9720+11250</f>
        <v>20970</v>
      </c>
      <c r="G149" s="59">
        <f t="shared" si="2"/>
        <v>1</v>
      </c>
    </row>
    <row r="150" spans="1:7" ht="21.75" customHeight="1">
      <c r="A150" s="14" t="s">
        <v>117</v>
      </c>
      <c r="B150" s="4" t="s">
        <v>110</v>
      </c>
      <c r="C150" s="4" t="s">
        <v>51</v>
      </c>
      <c r="D150" s="4" t="s">
        <v>14</v>
      </c>
      <c r="E150" s="6">
        <f>E155+E157+E158+E160+E161+E162+E163+E165+E169+E170+E171+E172+E156+E159+E166+E167+E151+E153+E154+E152</f>
        <v>7860684.507</v>
      </c>
      <c r="F150" s="6">
        <f>F155+F157+F158+F160+F161+F162+F163+F165+F169+F170+F171+F172+F151+F152+F153</f>
        <v>279276.853</v>
      </c>
      <c r="G150" s="59">
        <f t="shared" si="2"/>
        <v>0.035528312165601074</v>
      </c>
    </row>
    <row r="151" spans="1:7" ht="21.75" customHeight="1">
      <c r="A151" s="17" t="s">
        <v>75</v>
      </c>
      <c r="B151" s="11" t="s">
        <v>110</v>
      </c>
      <c r="C151" s="11" t="s">
        <v>147</v>
      </c>
      <c r="D151" s="21" t="s">
        <v>187</v>
      </c>
      <c r="E151" s="18">
        <v>556096.6</v>
      </c>
      <c r="F151" s="18">
        <f>1881+17562.47+17562.47</f>
        <v>37005.94</v>
      </c>
      <c r="G151" s="59">
        <f t="shared" si="2"/>
        <v>0.06654588429420356</v>
      </c>
    </row>
    <row r="152" spans="1:7" ht="21.75" customHeight="1">
      <c r="A152" s="17" t="s">
        <v>76</v>
      </c>
      <c r="B152" s="11" t="s">
        <v>110</v>
      </c>
      <c r="C152" s="11" t="s">
        <v>147</v>
      </c>
      <c r="D152" s="21" t="s">
        <v>191</v>
      </c>
      <c r="E152" s="18">
        <v>240603.4</v>
      </c>
      <c r="F152" s="18">
        <f>21230.1+5303.86</f>
        <v>26533.96</v>
      </c>
      <c r="G152" s="59">
        <f t="shared" si="2"/>
        <v>0.11028090209864033</v>
      </c>
    </row>
    <row r="153" spans="1:7" ht="21.75" customHeight="1">
      <c r="A153" s="17" t="s">
        <v>75</v>
      </c>
      <c r="B153" s="11" t="s">
        <v>110</v>
      </c>
      <c r="C153" s="11" t="s">
        <v>147</v>
      </c>
      <c r="D153" s="21" t="s">
        <v>189</v>
      </c>
      <c r="E153" s="18">
        <v>17195.23</v>
      </c>
      <c r="F153" s="18">
        <v>0</v>
      </c>
      <c r="G153" s="59">
        <f t="shared" si="2"/>
        <v>0</v>
      </c>
    </row>
    <row r="154" spans="1:7" ht="21.75" customHeight="1" hidden="1">
      <c r="A154" s="17" t="s">
        <v>76</v>
      </c>
      <c r="B154" s="11" t="s">
        <v>110</v>
      </c>
      <c r="C154" s="11" t="s">
        <v>147</v>
      </c>
      <c r="D154" s="21" t="s">
        <v>190</v>
      </c>
      <c r="E154" s="18">
        <v>7439.77</v>
      </c>
      <c r="F154" s="18">
        <v>0</v>
      </c>
      <c r="G154" s="59">
        <f t="shared" si="2"/>
        <v>0</v>
      </c>
    </row>
    <row r="155" spans="1:7" ht="21.75" customHeight="1" hidden="1">
      <c r="A155" s="17" t="s">
        <v>75</v>
      </c>
      <c r="B155" s="11" t="s">
        <v>110</v>
      </c>
      <c r="C155" s="11" t="s">
        <v>146</v>
      </c>
      <c r="D155" s="11" t="s">
        <v>5</v>
      </c>
      <c r="E155" s="18">
        <v>275607.917</v>
      </c>
      <c r="F155" s="18">
        <f>26434.32+20366.72+35906.61+20366.72+21744.01</f>
        <v>124818.37999999999</v>
      </c>
      <c r="G155" s="59">
        <f t="shared" si="2"/>
        <v>0.45288386980552514</v>
      </c>
    </row>
    <row r="156" spans="1:7" ht="21.75" customHeight="1" hidden="1">
      <c r="A156" s="17"/>
      <c r="B156" s="11"/>
      <c r="C156" s="11"/>
      <c r="D156" s="11"/>
      <c r="E156" s="18"/>
      <c r="F156" s="18"/>
      <c r="G156" s="59" t="e">
        <f t="shared" si="2"/>
        <v>#DIV/0!</v>
      </c>
    </row>
    <row r="157" spans="1:7" ht="21.75" customHeight="1" hidden="1">
      <c r="A157" s="17" t="s">
        <v>75</v>
      </c>
      <c r="B157" s="11" t="s">
        <v>110</v>
      </c>
      <c r="C157" s="11" t="s">
        <v>147</v>
      </c>
      <c r="D157" s="11" t="s">
        <v>5</v>
      </c>
      <c r="E157" s="18">
        <f>433280-1881-377308.24</f>
        <v>54090.76000000001</v>
      </c>
      <c r="F157" s="18">
        <f>23933.45+17562.47+12594.84</f>
        <v>54090.759999999995</v>
      </c>
      <c r="G157" s="59">
        <f t="shared" si="2"/>
        <v>0.9999999999999998</v>
      </c>
    </row>
    <row r="158" spans="1:7" ht="21.75" customHeight="1" hidden="1">
      <c r="A158" s="17" t="s">
        <v>76</v>
      </c>
      <c r="B158" s="11" t="s">
        <v>110</v>
      </c>
      <c r="C158" s="11" t="s">
        <v>146</v>
      </c>
      <c r="D158" s="11" t="s">
        <v>36</v>
      </c>
      <c r="E158" s="18">
        <v>119245.83</v>
      </c>
      <c r="F158" s="18">
        <f>7983.17+6150.74+9976.47+6150.743+6566.69</f>
        <v>36827.813</v>
      </c>
      <c r="G158" s="59">
        <f t="shared" si="2"/>
        <v>0.3088394202128494</v>
      </c>
    </row>
    <row r="159" spans="1:7" ht="21.75" customHeight="1" hidden="1">
      <c r="A159" s="17"/>
      <c r="B159" s="11"/>
      <c r="C159" s="11"/>
      <c r="D159" s="11"/>
      <c r="E159" s="18"/>
      <c r="F159" s="18"/>
      <c r="G159" s="59" t="e">
        <f t="shared" si="2"/>
        <v>#DIV/0!</v>
      </c>
    </row>
    <row r="160" spans="1:7" ht="21.75" customHeight="1">
      <c r="A160" s="17" t="s">
        <v>76</v>
      </c>
      <c r="B160" s="11" t="s">
        <v>110</v>
      </c>
      <c r="C160" s="11" t="s">
        <v>147</v>
      </c>
      <c r="D160" s="11" t="s">
        <v>36</v>
      </c>
      <c r="E160" s="18">
        <f>130850-130850</f>
        <v>0</v>
      </c>
      <c r="F160" s="18">
        <f>7227.91+5303.85+3394.48-15926.24</f>
        <v>0</v>
      </c>
      <c r="G160" s="59">
        <v>0</v>
      </c>
    </row>
    <row r="161" spans="1:7" ht="21.75" customHeight="1">
      <c r="A161" s="17" t="s">
        <v>75</v>
      </c>
      <c r="B161" s="11" t="s">
        <v>110</v>
      </c>
      <c r="C161" s="11" t="s">
        <v>43</v>
      </c>
      <c r="D161" s="11" t="s">
        <v>5</v>
      </c>
      <c r="E161" s="38">
        <v>97500</v>
      </c>
      <c r="F161" s="18">
        <v>0</v>
      </c>
      <c r="G161" s="59">
        <f t="shared" si="2"/>
        <v>0</v>
      </c>
    </row>
    <row r="162" spans="1:7" ht="21.75" customHeight="1">
      <c r="A162" s="17" t="s">
        <v>80</v>
      </c>
      <c r="B162" s="11" t="s">
        <v>110</v>
      </c>
      <c r="C162" s="11" t="s">
        <v>43</v>
      </c>
      <c r="D162" s="11" t="s">
        <v>10</v>
      </c>
      <c r="E162" s="18">
        <v>30000</v>
      </c>
      <c r="F162" s="18">
        <v>0</v>
      </c>
      <c r="G162" s="59">
        <f t="shared" si="2"/>
        <v>0</v>
      </c>
    </row>
    <row r="163" spans="1:7" ht="21.75" customHeight="1">
      <c r="A163" s="17" t="s">
        <v>76</v>
      </c>
      <c r="B163" s="11" t="s">
        <v>110</v>
      </c>
      <c r="C163" s="11" t="s">
        <v>43</v>
      </c>
      <c r="D163" s="11" t="s">
        <v>36</v>
      </c>
      <c r="E163" s="38">
        <v>29445</v>
      </c>
      <c r="F163" s="18">
        <v>0</v>
      </c>
      <c r="G163" s="59">
        <f t="shared" si="2"/>
        <v>0</v>
      </c>
    </row>
    <row r="164" spans="1:7" ht="21.75" customHeight="1">
      <c r="A164" s="34" t="s">
        <v>59</v>
      </c>
      <c r="B164" s="8" t="s">
        <v>110</v>
      </c>
      <c r="C164" s="8" t="s">
        <v>43</v>
      </c>
      <c r="D164" s="8" t="s">
        <v>14</v>
      </c>
      <c r="E164" s="35">
        <f>E165+E166+E167</f>
        <v>6433460</v>
      </c>
      <c r="F164" s="35">
        <f>F165+F166+F167</f>
        <v>0</v>
      </c>
      <c r="G164" s="59">
        <f t="shared" si="2"/>
        <v>0</v>
      </c>
    </row>
    <row r="165" spans="1:7" ht="21.75" customHeight="1">
      <c r="A165" s="10" t="s">
        <v>90</v>
      </c>
      <c r="B165" s="11" t="s">
        <v>110</v>
      </c>
      <c r="C165" s="11" t="s">
        <v>43</v>
      </c>
      <c r="D165" s="11" t="s">
        <v>4</v>
      </c>
      <c r="E165" s="18">
        <v>0</v>
      </c>
      <c r="F165" s="18">
        <v>0</v>
      </c>
      <c r="G165" s="59">
        <v>0</v>
      </c>
    </row>
    <row r="166" spans="1:7" ht="21.75" customHeight="1">
      <c r="A166" s="10" t="s">
        <v>148</v>
      </c>
      <c r="B166" s="11" t="s">
        <v>110</v>
      </c>
      <c r="C166" s="4" t="s">
        <v>149</v>
      </c>
      <c r="D166" s="21" t="s">
        <v>192</v>
      </c>
      <c r="E166" s="18">
        <v>6369130</v>
      </c>
      <c r="F166" s="18">
        <v>0</v>
      </c>
      <c r="G166" s="59">
        <f t="shared" si="2"/>
        <v>0</v>
      </c>
    </row>
    <row r="167" spans="1:7" ht="21.75" customHeight="1">
      <c r="A167" s="10" t="s">
        <v>20</v>
      </c>
      <c r="B167" s="11" t="s">
        <v>110</v>
      </c>
      <c r="C167" s="4" t="s">
        <v>150</v>
      </c>
      <c r="D167" s="21" t="s">
        <v>193</v>
      </c>
      <c r="E167" s="18">
        <v>64330</v>
      </c>
      <c r="F167" s="18">
        <v>0</v>
      </c>
      <c r="G167" s="59">
        <f t="shared" si="2"/>
        <v>0</v>
      </c>
    </row>
    <row r="168" spans="1:7" ht="21.75" customHeight="1">
      <c r="A168" s="34" t="s">
        <v>118</v>
      </c>
      <c r="B168" s="8" t="s">
        <v>110</v>
      </c>
      <c r="C168" s="8" t="s">
        <v>51</v>
      </c>
      <c r="D168" s="8" t="s">
        <v>14</v>
      </c>
      <c r="E168" s="35">
        <f>E171+E169+E172+E170</f>
        <v>0</v>
      </c>
      <c r="F168" s="35">
        <f>F171+F169+F172+F170</f>
        <v>0</v>
      </c>
      <c r="G168" s="59" t="e">
        <f t="shared" si="2"/>
        <v>#DIV/0!</v>
      </c>
    </row>
    <row r="169" spans="1:7" ht="21.75" customHeight="1" hidden="1">
      <c r="A169" s="10" t="s">
        <v>119</v>
      </c>
      <c r="B169" s="11" t="s">
        <v>110</v>
      </c>
      <c r="C169" s="11" t="s">
        <v>120</v>
      </c>
      <c r="D169" s="11" t="s">
        <v>4</v>
      </c>
      <c r="E169" s="38">
        <f>300-300</f>
        <v>0</v>
      </c>
      <c r="F169" s="38">
        <v>0</v>
      </c>
      <c r="G169" s="59" t="e">
        <f t="shared" si="2"/>
        <v>#DIV/0!</v>
      </c>
    </row>
    <row r="170" spans="1:7" ht="21.75" customHeight="1">
      <c r="A170" s="10" t="s">
        <v>119</v>
      </c>
      <c r="B170" s="11" t="s">
        <v>110</v>
      </c>
      <c r="C170" s="11" t="s">
        <v>121</v>
      </c>
      <c r="D170" s="11" t="s">
        <v>4</v>
      </c>
      <c r="E170" s="38">
        <v>0</v>
      </c>
      <c r="F170" s="38"/>
      <c r="G170" s="59">
        <v>0</v>
      </c>
    </row>
    <row r="171" spans="1:7" ht="21.75" customHeight="1">
      <c r="A171" s="10" t="s">
        <v>119</v>
      </c>
      <c r="B171" s="11" t="s">
        <v>110</v>
      </c>
      <c r="C171" s="11" t="s">
        <v>122</v>
      </c>
      <c r="D171" s="11" t="s">
        <v>4</v>
      </c>
      <c r="E171" s="18">
        <v>0</v>
      </c>
      <c r="F171" s="18">
        <v>0</v>
      </c>
      <c r="G171" s="59">
        <v>0</v>
      </c>
    </row>
    <row r="172" spans="1:7" ht="21.75" customHeight="1">
      <c r="A172" s="10" t="s">
        <v>119</v>
      </c>
      <c r="B172" s="11" t="s">
        <v>110</v>
      </c>
      <c r="C172" s="11" t="s">
        <v>123</v>
      </c>
      <c r="D172" s="11" t="s">
        <v>4</v>
      </c>
      <c r="E172" s="18">
        <v>0</v>
      </c>
      <c r="F172" s="18">
        <v>0</v>
      </c>
      <c r="G172" s="59">
        <v>0</v>
      </c>
    </row>
    <row r="173" spans="1:7" ht="12.75" hidden="1">
      <c r="A173" s="12"/>
      <c r="B173" s="13"/>
      <c r="C173" s="13"/>
      <c r="D173" s="13"/>
      <c r="E173" s="13"/>
      <c r="F173" s="13"/>
      <c r="G173" s="59">
        <v>0</v>
      </c>
    </row>
    <row r="174" spans="1:7" ht="12.75">
      <c r="A174" s="14" t="s">
        <v>124</v>
      </c>
      <c r="B174" s="4" t="s">
        <v>125</v>
      </c>
      <c r="C174" s="4" t="s">
        <v>51</v>
      </c>
      <c r="D174" s="4" t="s">
        <v>14</v>
      </c>
      <c r="E174" s="6">
        <f>E175</f>
        <v>30000</v>
      </c>
      <c r="F174" s="6">
        <f>F175</f>
        <v>9174.6</v>
      </c>
      <c r="G174" s="59">
        <f t="shared" si="2"/>
        <v>0.30582000000000004</v>
      </c>
    </row>
    <row r="175" spans="1:7" ht="12.75">
      <c r="A175" s="16" t="s">
        <v>44</v>
      </c>
      <c r="B175" s="8" t="s">
        <v>125</v>
      </c>
      <c r="C175" s="8" t="s">
        <v>45</v>
      </c>
      <c r="D175" s="8" t="s">
        <v>14</v>
      </c>
      <c r="E175" s="9">
        <f>E176+E177</f>
        <v>30000</v>
      </c>
      <c r="F175" s="9">
        <f>F176+F177</f>
        <v>9174.6</v>
      </c>
      <c r="G175" s="59">
        <f t="shared" si="2"/>
        <v>0.30582000000000004</v>
      </c>
    </row>
    <row r="176" spans="1:7" ht="48">
      <c r="A176" s="17" t="s">
        <v>126</v>
      </c>
      <c r="B176" s="11" t="s">
        <v>125</v>
      </c>
      <c r="C176" s="11" t="s">
        <v>45</v>
      </c>
      <c r="D176" s="11" t="s">
        <v>10</v>
      </c>
      <c r="E176" s="18">
        <v>3669.84</v>
      </c>
      <c r="F176" s="18">
        <f>1834.92+1834.92+1834.92-1834.92</f>
        <v>3669.84</v>
      </c>
      <c r="G176" s="59">
        <f t="shared" si="2"/>
        <v>1</v>
      </c>
    </row>
    <row r="177" spans="1:7" ht="48">
      <c r="A177" s="17" t="s">
        <v>126</v>
      </c>
      <c r="B177" s="11" t="s">
        <v>125</v>
      </c>
      <c r="C177" s="11" t="s">
        <v>45</v>
      </c>
      <c r="D177" s="21" t="s">
        <v>194</v>
      </c>
      <c r="E177" s="18">
        <v>26330.16</v>
      </c>
      <c r="F177" s="18">
        <f>1834.92+1834.92+1834.92-1834.92+1834.92</f>
        <v>5504.76</v>
      </c>
      <c r="G177" s="59">
        <f t="shared" si="2"/>
        <v>0.2090667128494472</v>
      </c>
    </row>
    <row r="178" spans="1:7" ht="22.5">
      <c r="A178" s="14" t="s">
        <v>151</v>
      </c>
      <c r="B178" s="4" t="s">
        <v>152</v>
      </c>
      <c r="C178" s="4" t="s">
        <v>153</v>
      </c>
      <c r="D178" s="4"/>
      <c r="E178" s="6">
        <f>E179+E181</f>
        <v>4634800</v>
      </c>
      <c r="F178" s="6">
        <f>F179+F181</f>
        <v>0</v>
      </c>
      <c r="G178" s="59">
        <f t="shared" si="2"/>
        <v>0</v>
      </c>
    </row>
    <row r="179" spans="1:7" ht="12.75">
      <c r="A179" s="39" t="s">
        <v>127</v>
      </c>
      <c r="B179" s="4" t="s">
        <v>129</v>
      </c>
      <c r="C179" s="4" t="s">
        <v>33</v>
      </c>
      <c r="D179" s="4" t="s">
        <v>4</v>
      </c>
      <c r="E179" s="6">
        <f>E180</f>
        <v>10000</v>
      </c>
      <c r="F179" s="6">
        <f>F180</f>
        <v>0</v>
      </c>
      <c r="G179" s="59">
        <f t="shared" si="2"/>
        <v>0</v>
      </c>
    </row>
    <row r="180" spans="1:7" ht="52.5">
      <c r="A180" s="40" t="s">
        <v>154</v>
      </c>
      <c r="B180" s="11" t="s">
        <v>129</v>
      </c>
      <c r="C180" s="11" t="s">
        <v>33</v>
      </c>
      <c r="D180" s="11" t="s">
        <v>4</v>
      </c>
      <c r="E180" s="18">
        <v>10000</v>
      </c>
      <c r="F180" s="18">
        <v>0</v>
      </c>
      <c r="G180" s="59">
        <f t="shared" si="2"/>
        <v>0</v>
      </c>
    </row>
    <row r="181" spans="1:7" ht="12.75">
      <c r="A181" s="3" t="s">
        <v>128</v>
      </c>
      <c r="B181" s="4" t="s">
        <v>129</v>
      </c>
      <c r="C181" s="4" t="s">
        <v>51</v>
      </c>
      <c r="D181" s="4" t="s">
        <v>14</v>
      </c>
      <c r="E181" s="6">
        <f>E182</f>
        <v>4624800</v>
      </c>
      <c r="F181" s="6">
        <f>F182</f>
        <v>0</v>
      </c>
      <c r="G181" s="59">
        <f t="shared" si="2"/>
        <v>0</v>
      </c>
    </row>
    <row r="182" spans="1:7" ht="12.75">
      <c r="A182" s="7" t="s">
        <v>128</v>
      </c>
      <c r="B182" s="8" t="s">
        <v>129</v>
      </c>
      <c r="C182" s="8" t="s">
        <v>130</v>
      </c>
      <c r="D182" s="8" t="s">
        <v>4</v>
      </c>
      <c r="E182" s="9">
        <f>E183</f>
        <v>4624800</v>
      </c>
      <c r="F182" s="9">
        <f>F183</f>
        <v>0</v>
      </c>
      <c r="G182" s="59">
        <f t="shared" si="2"/>
        <v>0</v>
      </c>
    </row>
    <row r="183" spans="1:7" ht="36">
      <c r="A183" s="10" t="s">
        <v>20</v>
      </c>
      <c r="B183" s="11" t="s">
        <v>129</v>
      </c>
      <c r="C183" s="4" t="s">
        <v>130</v>
      </c>
      <c r="D183" s="11" t="s">
        <v>4</v>
      </c>
      <c r="E183" s="18">
        <v>4624800</v>
      </c>
      <c r="F183" s="18">
        <v>0</v>
      </c>
      <c r="G183" s="59">
        <f t="shared" si="2"/>
        <v>0</v>
      </c>
    </row>
    <row r="184" spans="1:7" ht="12.75" hidden="1">
      <c r="A184" s="22"/>
      <c r="B184" s="23"/>
      <c r="C184" s="23"/>
      <c r="D184" s="23"/>
      <c r="E184" s="23"/>
      <c r="F184" s="23"/>
      <c r="G184" s="59" t="e">
        <f t="shared" si="2"/>
        <v>#DIV/0!</v>
      </c>
    </row>
    <row r="185" spans="1:7" ht="33.75">
      <c r="A185" s="14" t="s">
        <v>131</v>
      </c>
      <c r="B185" s="4" t="s">
        <v>132</v>
      </c>
      <c r="C185" s="4" t="s">
        <v>51</v>
      </c>
      <c r="D185" s="4" t="s">
        <v>14</v>
      </c>
      <c r="E185" s="6">
        <f>E186</f>
        <v>10000</v>
      </c>
      <c r="F185" s="6">
        <f>F186</f>
        <v>0</v>
      </c>
      <c r="G185" s="59">
        <f t="shared" si="2"/>
        <v>0</v>
      </c>
    </row>
    <row r="186" spans="1:7" ht="24">
      <c r="A186" s="16" t="s">
        <v>133</v>
      </c>
      <c r="B186" s="8" t="s">
        <v>132</v>
      </c>
      <c r="C186" s="8" t="s">
        <v>34</v>
      </c>
      <c r="D186" s="8" t="s">
        <v>14</v>
      </c>
      <c r="E186" s="9">
        <f>E187</f>
        <v>10000</v>
      </c>
      <c r="F186" s="9">
        <f>F187</f>
        <v>0</v>
      </c>
      <c r="G186" s="59">
        <f t="shared" si="2"/>
        <v>0</v>
      </c>
    </row>
    <row r="187" spans="1:7" ht="36">
      <c r="A187" s="17" t="s">
        <v>134</v>
      </c>
      <c r="B187" s="11" t="s">
        <v>132</v>
      </c>
      <c r="C187" s="11" t="s">
        <v>34</v>
      </c>
      <c r="D187" s="11" t="s">
        <v>3</v>
      </c>
      <c r="E187" s="18">
        <f>10000</f>
        <v>10000</v>
      </c>
      <c r="F187" s="18">
        <v>0</v>
      </c>
      <c r="G187" s="59">
        <f t="shared" si="2"/>
        <v>0</v>
      </c>
    </row>
    <row r="188" spans="1:7" ht="22.5">
      <c r="A188" s="14" t="s">
        <v>155</v>
      </c>
      <c r="B188" s="4" t="s">
        <v>156</v>
      </c>
      <c r="C188" s="4" t="s">
        <v>51</v>
      </c>
      <c r="D188" s="4" t="s">
        <v>14</v>
      </c>
      <c r="E188" s="6">
        <f>45187918.98-E189</f>
        <v>-6337113.684000008</v>
      </c>
      <c r="F188" s="6">
        <v>0</v>
      </c>
      <c r="G188" s="59">
        <f t="shared" si="2"/>
        <v>0</v>
      </c>
    </row>
    <row r="189" spans="1:7" ht="12.75">
      <c r="A189" s="14" t="s">
        <v>135</v>
      </c>
      <c r="B189" s="4" t="s">
        <v>136</v>
      </c>
      <c r="C189" s="4" t="s">
        <v>51</v>
      </c>
      <c r="D189" s="4" t="s">
        <v>14</v>
      </c>
      <c r="E189" s="6">
        <f>E13+E40+E52+E73+E82+E86+E98+E109+E115+E121+E127+E174+E178+E185</f>
        <v>51525032.664000005</v>
      </c>
      <c r="F189" s="6">
        <f>F13+F40+F52+F73+F97+F127+F174+F82</f>
        <v>8016655.3429999985</v>
      </c>
      <c r="G189" s="59">
        <f t="shared" si="2"/>
        <v>0.1555875839085329</v>
      </c>
    </row>
    <row r="192" spans="1:6" ht="12.75">
      <c r="A192" s="41" t="s">
        <v>159</v>
      </c>
      <c r="F192" s="41" t="s">
        <v>160</v>
      </c>
    </row>
  </sheetData>
  <sheetProtection/>
  <mergeCells count="8">
    <mergeCell ref="H10:J10"/>
    <mergeCell ref="G1:I1"/>
    <mergeCell ref="G2:J2"/>
    <mergeCell ref="G3:J3"/>
    <mergeCell ref="G4:J4"/>
    <mergeCell ref="G5:J5"/>
    <mergeCell ref="A8:H9"/>
    <mergeCell ref="G6:J6"/>
  </mergeCells>
  <printOptions/>
  <pageMargins left="0.16" right="0.12" top="0.18" bottom="0.16" header="0.28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2016-08-21T05:54:46Z</cp:lastPrinted>
  <dcterms:created xsi:type="dcterms:W3CDTF">2012-07-23T09:33:14Z</dcterms:created>
  <dcterms:modified xsi:type="dcterms:W3CDTF">2020-08-28T02:44:47Z</dcterms:modified>
  <cp:category/>
  <cp:version/>
  <cp:contentType/>
  <cp:contentStatus/>
</cp:coreProperties>
</file>